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omments2.xml" ContentType="application/vnd.openxmlformats-officedocument.spreadsheetml.comments+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 yWindow="780" windowWidth="11010" windowHeight="7365" tabRatio="907" activeTab="2"/>
  </bookViews>
  <sheets>
    <sheet name="animaux" sheetId="48" r:id="rId1"/>
    <sheet name="coût alimentation" sheetId="51" r:id="rId2"/>
    <sheet name="BDD" sheetId="27" r:id="rId3"/>
  </sheets>
  <externalReferences>
    <externalReference r:id="rId4"/>
  </externalReferences>
  <definedNames>
    <definedName name="_xlnm._FilterDatabase" localSheetId="0" hidden="1">animaux!$Z$2:$Z$4</definedName>
    <definedName name="AlimentsBisons">BDD!$BM$114:$BP$152</definedName>
    <definedName name="AlimentsBovins">BDD!$BB$341:$BE$380</definedName>
    <definedName name="AlimentsCanards">BDD!#REF!</definedName>
    <definedName name="AlimentsCaprins">BDD!$BX$196:$CA$234</definedName>
    <definedName name="AlimentsChevauxSelle">BDD!#REF!</definedName>
    <definedName name="AlimentsChevauxTrait">BDD!#REF!</definedName>
    <definedName name="AlimentsDaims">BDD!#REF!</definedName>
    <definedName name="AlimentsGavageOiesEtCanards">BDD!#REF!</definedName>
    <definedName name="AlimentsLapins">BDD!#REF!</definedName>
    <definedName name="AlimentsOies">BDD!#REF!</definedName>
    <definedName name="AlimentsOvins">BDD!#REF!</definedName>
    <definedName name="AlimentsPintades">BDD!#REF!</definedName>
    <definedName name="AlimentsPoneys">BDD!#REF!</definedName>
    <definedName name="AlimentsPorcins">BDD!#REF!</definedName>
    <definedName name="AlimentsRationBovinsFemelles">BDD!$BB$236:$BJ$274</definedName>
    <definedName name="AlimentsRationBovinsMâles">BDD!$BB$194:$BJ$232</definedName>
    <definedName name="AlimentsRationCanardsFemelles">#REF!</definedName>
    <definedName name="AlimentsRationCanardsMâles">#REF!</definedName>
    <definedName name="AlimentsRationCaprinsFemelles">BDD!$BX$144:$CC$178</definedName>
    <definedName name="AlimentsRationCaprinsMâles">BDD!$BX$106:$CC$140</definedName>
    <definedName name="AlimentsRationEcurieChevauxFemellesSelle">BDD!#REF!</definedName>
    <definedName name="AlimentsRationEcurieChevauxFemellesTrait">BDD!#REF!</definedName>
    <definedName name="AlimentsRationEcurieChevauxMâlesSelle">BDD!#REF!</definedName>
    <definedName name="AlimentsRationEcurieChevauxMâlesTrait">BDD!#REF!</definedName>
    <definedName name="AlimentsRationEcuriePoneysFemelles">BDD!#REF!</definedName>
    <definedName name="AlimentsRationEcuriePoneysMâles">BDD!#REF!</definedName>
    <definedName name="AlimentsRationHivernaleBisonsFemelles">BDD!$BM$73:$BU$106</definedName>
    <definedName name="AlimentsRationHivernaleBisonsMâles">BDD!$BM$36:$BU$69</definedName>
    <definedName name="AlimentsRationHivernaleBovins">BDD!$BB$284:$BJ$323</definedName>
    <definedName name="AlimentsRationHivernaleDaims">BDD!#REF!</definedName>
    <definedName name="AlimentsRationHivernaleOvins">BDD!#REF!</definedName>
    <definedName name="AlimentsRationOvinsFemelles">BDD!#REF!</definedName>
    <definedName name="AlimentsRationOvinsMâles">BDD!#REF!</definedName>
    <definedName name="AlimentsVolailles">BDD!#REF!</definedName>
    <definedName name="Avoine">'coût alimentation'!$B$9</definedName>
    <definedName name="AvoineNécessaireBQ">'coût alimentation'!$C$9</definedName>
    <definedName name="AvoineNécessaireMaQ">'coût alimentation'!$E$9</definedName>
    <definedName name="AvoineNécessaireMoQ">'coût alimentation'!$D$9</definedName>
    <definedName name="Belgique">BDD!$M$7</definedName>
    <definedName name="Bergerie">#REF!</definedName>
    <definedName name="Betterave">'coût alimentation'!$B$10</definedName>
    <definedName name="BetteraveNécessaireBQ">'coût alimentation'!$C$10</definedName>
    <definedName name="BetteraveNécessaireMaQ">'coût alimentation'!$E$10</definedName>
    <definedName name="BetteraveNécessaireMoQ">'coût alimentation'!$D$10</definedName>
    <definedName name="BilanBergerie">#REF!</definedName>
    <definedName name="BilanChèvreries">#REF!</definedName>
    <definedName name="BilanClapiers">#REF!</definedName>
    <definedName name="BilanEcuriesPoneys">#REF!</definedName>
    <definedName name="BilanEcuriesSelle">#REF!</definedName>
    <definedName name="BilanEcuriesTrait">#REF!</definedName>
    <definedName name="BilanParcsCanards">#REF!</definedName>
    <definedName name="BilanParcsLapins">#REF!</definedName>
    <definedName name="BilanParcsOies">#REF!</definedName>
    <definedName name="BilanParcsPintades">#REF!</definedName>
    <definedName name="BilanParcsPorcins">#REF!</definedName>
    <definedName name="BilanParcsVolailles">#REF!</definedName>
    <definedName name="BilanPorcheries">#REF!</definedName>
    <definedName name="BilanPoulaillersCanards">#REF!</definedName>
    <definedName name="BilanPoulaillersOies">#REF!</definedName>
    <definedName name="BilanPoulaillersPintades">#REF!</definedName>
    <definedName name="BilanPoulaillersVolailles">#REF!</definedName>
    <definedName name="BilanStabu">#REF!</definedName>
    <definedName name="Bisons">#REF!</definedName>
    <definedName name="Blé">'coût alimentation'!$B$11</definedName>
    <definedName name="BléNécessaireBQ">'coût alimentation'!$C$11</definedName>
    <definedName name="BléNécessaireMaQ">'coût alimentation'!$E$11</definedName>
    <definedName name="BléNécessaireMoQ">'coût alimentation'!$D$11</definedName>
    <definedName name="BONNE">BDD!$J$2</definedName>
    <definedName name="BouchonsLuzerne">'coût alimentation'!$B$12</definedName>
    <definedName name="BouchonsLuzerneNécessaireBQ">'coût alimentation'!$C$12</definedName>
    <definedName name="BouchonsLuzerneNécessaireMaQ">'coût alimentation'!$E$12</definedName>
    <definedName name="BouchonsLuzerneNécessaireMoQ">'coût alimentation'!$D$12</definedName>
    <definedName name="Bovins">#REF!</definedName>
    <definedName name="BovinsAuPré">AnimauxAuPré[bovins]</definedName>
    <definedName name="CANADA">BDD!$M$9</definedName>
    <definedName name="caneton_femelle_0_3_mois">animaux!$C$155</definedName>
    <definedName name="caneton_mâle_0_3_mois">animaux!$C$154</definedName>
    <definedName name="Canola">'coût alimentation'!$B$13</definedName>
    <definedName name="CanolaNécessaireBQ">'coût alimentation'!$C$13</definedName>
    <definedName name="CanolaNécessaireMaQ">'coût alimentation'!$E$13</definedName>
    <definedName name="CanolaNécessaireMoQ">'coût alimentation'!$D$13</definedName>
    <definedName name="Caprins">#REF!</definedName>
    <definedName name="ChanvreIndustriel">BDD!#REF!</definedName>
    <definedName name="ChevauxSelle">#REF!</definedName>
    <definedName name="ChevauxTrait">#REF!</definedName>
    <definedName name="chevreau_0_3_mois">animaux!$C$45</definedName>
    <definedName name="chevreau_3_6_mois">animaux!$C$47</definedName>
    <definedName name="Chèvrerie">#REF!</definedName>
    <definedName name="chevrette_0_3_mois">animaux!$C$46</definedName>
    <definedName name="chevrette_3_6_mois">animaux!$C$48</definedName>
    <definedName name="ChoixBovinsPréEté">animaux!$M$8</definedName>
    <definedName name="ChoixBovinsPréHiver">animaux!$M$11</definedName>
    <definedName name="ChoixCaprinsPréEté">animaux!$M$45</definedName>
    <definedName name="ChoixChevauxSellePréEté">animaux!$M$235</definedName>
    <definedName name="ChoixChevauxSellePréHiver">animaux!$J$235</definedName>
    <definedName name="ChoixChevauxTraitPréEté">animaux!$M$249</definedName>
    <definedName name="ChoixChevauxTraitPréHiver">animaux!$J$249</definedName>
    <definedName name="ChoixElevageBovins">animaux!$J$8</definedName>
    <definedName name="ChoixElevageLapins">animaux!$J$121</definedName>
    <definedName name="ChoixElevagePintades">animaux!$J$102</definedName>
    <definedName name="ChoixElevagePorcins">animaux!$J$64</definedName>
    <definedName name="ChoixElevageVolailles">animaux!$J$83</definedName>
    <definedName name="ChoixExpèceAuPré">#REF!</definedName>
    <definedName name="ChoixOvinsPréEté">animaux!$M$199</definedName>
    <definedName name="ChoixOvinsPréHiver">animaux!$M$202</definedName>
    <definedName name="ChoixPaillageBovins">animaux!$K$23</definedName>
    <definedName name="ChoixPaillageCanards">animaux!$K$165</definedName>
    <definedName name="ChoixPaillageCaprins">animaux!$K$56</definedName>
    <definedName name="ChoixPaillageChevauxSelle">animaux!$K$243</definedName>
    <definedName name="ChoixPaillageChevauxTrait">animaux!$K$257</definedName>
    <definedName name="ChoixPaillageLapins">animaux!$K$133</definedName>
    <definedName name="ChoixPaillageOies">animaux!$K$149</definedName>
    <definedName name="ChoixPaillageOiesFoieGras">animaux!$K$181</definedName>
    <definedName name="ChoixPaillageOvins">animaux!$K$210</definedName>
    <definedName name="ChoixPaillagePintades">animaux!$K$113</definedName>
    <definedName name="ChoixPaillagePoneys">animaux!$K$271</definedName>
    <definedName name="ChoixPaillagePorcins">animaux!$K$75</definedName>
    <definedName name="ChoixPaillageVolailles">animaux!$K$94</definedName>
    <definedName name="ChoixPaysPartie">animaux!$D$4</definedName>
    <definedName name="ChoixPoneysPréEté">animaux!$M$263</definedName>
    <definedName name="ChoixPoneysPréHiver">animaux!$J$263</definedName>
    <definedName name="ChoixRationBisons">animaux!$J$28</definedName>
    <definedName name="ChoixRationBovins">animaux!$J$11</definedName>
    <definedName name="ChoixRationCanards">animaux!$J$154</definedName>
    <definedName name="ChoixRationCaprins">animaux!$J$45</definedName>
    <definedName name="ChoixRationComplèteBisons">animaux!$J$31</definedName>
    <definedName name="ChoixRationComplèteBovins">animaux!$J$14</definedName>
    <definedName name="ChoixRationComplèteCanards">animaux!$J$157</definedName>
    <definedName name="ChoixRationComplèteCaprins">animaux!$J$48</definedName>
    <definedName name="ChoixRationComplèteDaims">animaux!$J$218</definedName>
    <definedName name="ChoixRationComplèteEtéChevauxSelle">animaux!$J$238</definedName>
    <definedName name="ChoixRationComplèteEtéChevauxTrait">animaux!$J$252</definedName>
    <definedName name="ChoixRationComplèteEtéPoneys">animaux!$J$266</definedName>
    <definedName name="ChoixRationComplèteFoieGrasCanards">animaux!$J$189</definedName>
    <definedName name="ChoixRationComplèteFoieGrasOies">animaux!$J$173</definedName>
    <definedName name="ChoixRationComplèteLapins">animaux!$J$124</definedName>
    <definedName name="ChoixRationComplèteOies">animaux!$J$141</definedName>
    <definedName name="ChoixRationComplèteOvins">animaux!$J$202</definedName>
    <definedName name="ChoixRationComplètePintades">animaux!$J$105</definedName>
    <definedName name="ChoixRationComplètePorcins">animaux!$J$67</definedName>
    <definedName name="ChoixRationComplètePoules">animaux!$J$86</definedName>
    <definedName name="ChoixRationDaims">animaux!$J$215</definedName>
    <definedName name="ChoixRationFoieGrasCanards">animaux!$J$186</definedName>
    <definedName name="ChoixRationFoieGrasOies">animaux!$J$170</definedName>
    <definedName name="ChoixRationHivernaleComplèteBovins">animaux!$M$14</definedName>
    <definedName name="ChoixRationHivernaleComplèteChevauxSelle">animaux!$M$238</definedName>
    <definedName name="ChoixRationHivernaleComplèteChevauxTrait">animaux!$M$252</definedName>
    <definedName name="ChoixRationHivernaleComplètePoneys">animaux!$M$266</definedName>
    <definedName name="ChoixRationHivernaleOvinsComplète">animaux!$M$205</definedName>
    <definedName name="ChoixRationLapins">animaux!$J$118</definedName>
    <definedName name="ChoixRationOies">animaux!$J$138</definedName>
    <definedName name="ChoixRationOvins">animaux!$J$199</definedName>
    <definedName name="ChoixRationPintades">animaux!$J$99</definedName>
    <definedName name="ChoixRationPorcins">animaux!$J$61</definedName>
    <definedName name="ChoixRationVolailles">animaux!$J$80</definedName>
    <definedName name="ChoixSéparationEcuries">#REF!</definedName>
    <definedName name="ChoixSéparationParcsVolailles">#REF!</definedName>
    <definedName name="ChoixSéparationPoulaillers">#REF!</definedName>
    <definedName name="ChoixSpécificité1Bisons">animaux!$J$37</definedName>
    <definedName name="ChoixSpécificité1FoieGrasCanards">animaux!$J$195</definedName>
    <definedName name="ChoixSpécificité1FoieGrasOies">animaux!$J$179</definedName>
    <definedName name="ChoixSpécificité2Bisons">animaux!$J$38</definedName>
    <definedName name="ChoixSpécificité2FoieGrasOies">animaux!$J$180</definedName>
    <definedName name="ChoixVaccinBisons">animaux!$K$39</definedName>
    <definedName name="ChoixVaccinBovins">animaux!$K$24</definedName>
    <definedName name="ChoixVaccinCanards">animaux!$K$166</definedName>
    <definedName name="ChoixVaccinCaprins">animaux!$K$57</definedName>
    <definedName name="ChoixVaccinChevauxSelle">animaux!$K$244</definedName>
    <definedName name="ChoixVaccinChevauxTrait">animaux!$K$258</definedName>
    <definedName name="ChoixVaccinDaims">animaux!$K$227</definedName>
    <definedName name="ChoixVaccinLapins">animaux!$K$134</definedName>
    <definedName name="ChoixVaccinOies">animaux!$K$150</definedName>
    <definedName name="ChoixVaccinOiesFoieGras">animaux!$K$182</definedName>
    <definedName name="ChoixVaccinOvins">animaux!$K$211</definedName>
    <definedName name="ChoixVaccinPintades">animaux!$K$114</definedName>
    <definedName name="ChoixVaccinPoneys">animaux!$K$272</definedName>
    <definedName name="ChoixVaccinPorcins">animaux!$K$76</definedName>
    <definedName name="ChoixVaccinVolailles">animaux!$K$95</definedName>
    <definedName name="Clapiers">#REF!</definedName>
    <definedName name="CliquesIci">animaux!$C$1</definedName>
    <definedName name="Colza">'coût alimentation'!$B$14</definedName>
    <definedName name="ColzaNécessaireBQ">'coût alimentation'!$C$14</definedName>
    <definedName name="ColzaNécessaireMaQ">'coût alimentation'!$E$14</definedName>
    <definedName name="ColzaNécessaireMoQ">'coût alimentation'!$D$14</definedName>
    <definedName name="CommandeAvoineBQ">'coût alimentation'!$F$9</definedName>
    <definedName name="CommandeAvoineMaQ">'coût alimentation'!$H$9</definedName>
    <definedName name="CommandeAvoineMoQ">'coût alimentation'!$G$9</definedName>
    <definedName name="CommandeBetteraveBQ">'coût alimentation'!$F$10</definedName>
    <definedName name="CommandeBetteraveMaQ">'coût alimentation'!$H$10</definedName>
    <definedName name="CommandeBetteraveMoQ">'coût alimentation'!$G$10</definedName>
    <definedName name="CommandeBléBQ">'coût alimentation'!$F$11</definedName>
    <definedName name="CommandeBléMaQ">'coût alimentation'!$H$11</definedName>
    <definedName name="CommandeBléMoQ">'coût alimentation'!$G$11</definedName>
    <definedName name="CommandeBouchonLuzerneBQ">'coût alimentation'!$F$12</definedName>
    <definedName name="CommandeBouchonLuzerneMaQ">'coût alimentation'!$H$12</definedName>
    <definedName name="CommandeBouchonLuzerneMoQ">'coût alimentation'!$G$12</definedName>
    <definedName name="CommandeCanolaBQ">'coût alimentation'!$F$13</definedName>
    <definedName name="CommandeCanolaMaQ">'coût alimentation'!$H$13</definedName>
    <definedName name="CommandeCanolaMoQ">'coût alimentation'!$G$13</definedName>
    <definedName name="CommandeColzaBQ">'coût alimentation'!$F$14</definedName>
    <definedName name="CommandeColzaMaQ">'coût alimentation'!$H$14</definedName>
    <definedName name="CommandeColzaMoQ">'coût alimentation'!$G$14</definedName>
    <definedName name="CommandeConcentréBovinsBQ">'coût alimentation'!$F$15</definedName>
    <definedName name="CommandeConcentréBovinsMaQ">'coût alimentation'!$H$15</definedName>
    <definedName name="CommandeConcentréBovinsMoQ">'coût alimentation'!$G$15</definedName>
    <definedName name="CommandeConcentréLapinsBQ">'coût alimentation'!$F$16</definedName>
    <definedName name="CommandeConcentréLapinsMaQ">'coût alimentation'!$H$16</definedName>
    <definedName name="CommandeConcentréLapinsMoQ">'coût alimentation'!$G$16</definedName>
    <definedName name="CommandeConcentréPorcinsBQ">'coût alimentation'!$F$17</definedName>
    <definedName name="CommandeConcentréPorcinsMaQ">'coût alimentation'!$H$17</definedName>
    <definedName name="CommandeConcentréPorcinsMoQ">'coût alimentation'!$G$17</definedName>
    <definedName name="CommandeEau">'coût alimentation'!$F$19</definedName>
    <definedName name="CommandeEnsilageHerbeBQ">'coût alimentation'!$F$18</definedName>
    <definedName name="CommandeEnsilageHerbeMaQ">'coût alimentation'!$H$18</definedName>
    <definedName name="CommandeEnsilageHerbeMoQ">'coût alimentation'!$G$18</definedName>
    <definedName name="CommandeFeveroleBQ">'coût alimentation'!$F$20</definedName>
    <definedName name="CommandeFeveroleMaQ">'coût alimentation'!$H$20</definedName>
    <definedName name="CommandeFeveroleMoQ">'coût alimentation'!$G$20</definedName>
    <definedName name="CommandeFoinBQ">'coût alimentation'!$F$21</definedName>
    <definedName name="CommandeFoinMaQ">'coût alimentation'!$H$21</definedName>
    <definedName name="CommandeFoinMoQ">'coût alimentation'!$G$21</definedName>
    <definedName name="CommandeMaïsEnsiléBQ">'coût alimentation'!$F$22</definedName>
    <definedName name="CommandeMaïsEnsiléMaQ">'coût alimentation'!$H$22</definedName>
    <definedName name="CommandeMaïsEnsiléMoQ">'coût alimentation'!$G$22</definedName>
    <definedName name="CommandeMaïsGrainBQ">'coût alimentation'!$F$23</definedName>
    <definedName name="CommandeMaïsGrainMaQ">'coût alimentation'!$H$23</definedName>
    <definedName name="CommandeMaïsGrainMoQ">'coût alimentation'!$G$23</definedName>
    <definedName name="CommandeMinérauxBQ">'coût alimentation'!$F$24</definedName>
    <definedName name="CommandeMinérauxMaQ">'coût alimentation'!$H$24</definedName>
    <definedName name="CommandeMinérauxMoQ">'coût alimentation'!$G$24</definedName>
    <definedName name="CommandeOrgeBQ">'coût alimentation'!$F$25</definedName>
    <definedName name="CommandeOrgeMaQ">'coût alimentation'!$H$25</definedName>
    <definedName name="CommandeOrgeMoQ">'coût alimentation'!$G$25</definedName>
    <definedName name="CommandePailleBQ">'coût alimentation'!$F$26</definedName>
    <definedName name="CommandePailleMaQ">'coût alimentation'!$H$26</definedName>
    <definedName name="CommandePailleMoQ">'coût alimentation'!$G$26</definedName>
    <definedName name="CommandePoisBQ">'coût alimentation'!$F$27</definedName>
    <definedName name="CommandePoisMaQ">'coût alimentation'!$H$27</definedName>
    <definedName name="CommandePoisMoQ">'coût alimentation'!$G$27</definedName>
    <definedName name="CommandeRationBisonsBQ">'coût alimentation'!$F$37</definedName>
    <definedName name="CommandeRationBisonsMaQ">'coût alimentation'!$H$37</definedName>
    <definedName name="CommandeRationBisonsMoQ">'coût alimentation'!$G$37</definedName>
    <definedName name="CommandeRationBovinBQ">'coût alimentation'!$F$35</definedName>
    <definedName name="CommandeRationBovinMaQ">'coût alimentation'!$H$35</definedName>
    <definedName name="CommandeRationBovinMoQ">'coût alimentation'!$G$35</definedName>
    <definedName name="CommandeRationCanardBQ">'coût alimentation'!$F$44</definedName>
    <definedName name="CommandeRationCanardMaQ">'coût alimentation'!$H$44</definedName>
    <definedName name="CommandeRationCanardMoQ">'coût alimentation'!$G$44</definedName>
    <definedName name="CommandeRationCaprinsBQ">'coût alimentation'!$F$38</definedName>
    <definedName name="CommandeRationCaprinsMaQ">'coût alimentation'!$H$38</definedName>
    <definedName name="CommandeRationCaprinsMoQ">'coût alimentation'!$G$38</definedName>
    <definedName name="CommandeRationChevauxSelleBQ">'coût alimentation'!$F$48</definedName>
    <definedName name="CommandeRationChevauxSelleMaQ">'coût alimentation'!$H$48</definedName>
    <definedName name="CommandeRationChevauxSelleMoQ">'coût alimentation'!$G$48</definedName>
    <definedName name="CommandeRationChevauxTraitBQ">'coût alimentation'!$F$49</definedName>
    <definedName name="CommandeRationChevauxTraitMaQ">'coût alimentation'!$H$49</definedName>
    <definedName name="CommandeRationChevauxTraitMoQ">'coût alimentation'!$G$49</definedName>
    <definedName name="CommandeRationDaimsBQ">'coût alimentation'!$F$47</definedName>
    <definedName name="CommandeRationDaimsMaQ">'coût alimentation'!$H$47</definedName>
    <definedName name="CommandeRationDaimsMoQ">'coût alimentation'!$G$47</definedName>
    <definedName name="CommandeRationHiverBovinBQ">'coût alimentation'!$F$36</definedName>
    <definedName name="CommandeRationHiverBovinMaQ">'coût alimentation'!$H$36</definedName>
    <definedName name="CommandeRationHiverBovinMoQ">'coût alimentation'!$G$36</definedName>
    <definedName name="CommandeRationHiverOvinBQ">'coût alimentation'!$F$46</definedName>
    <definedName name="CommandeRationHiverOvinMaQ">'coût alimentation'!$H$46</definedName>
    <definedName name="CommandeRationHiverOvinMoQ">'coût alimentation'!$G$46</definedName>
    <definedName name="CommandeRationLapinBQ">'coût alimentation'!$F$42</definedName>
    <definedName name="CommandeRationLapinMaQ">'coût alimentation'!$H$42</definedName>
    <definedName name="CommandeRationLapinMoQ">'coût alimentation'!$G$42</definedName>
    <definedName name="CommandeRationOieBQ">'coût alimentation'!$F$43</definedName>
    <definedName name="CommandeRationOieMaQ">'coût alimentation'!$H$43</definedName>
    <definedName name="CommandeRationOieMoQ">'coût alimentation'!$G$43</definedName>
    <definedName name="CommandeRationOvinBQ">'coût alimentation'!$F$45</definedName>
    <definedName name="CommandeRationOvinMaQ">'coût alimentation'!$H$45</definedName>
    <definedName name="CommandeRationOvinMoQ">'coût alimentation'!$G$45</definedName>
    <definedName name="CommandeRationPintadesBQ">'coût alimentation'!$F$41</definedName>
    <definedName name="CommandeRationPintadesMaQ">'coût alimentation'!$H$41</definedName>
    <definedName name="CommandeRationPintadesMoQ">'coût alimentation'!$G$41</definedName>
    <definedName name="CommandeRationPoneysBQ">'coût alimentation'!$F$50</definedName>
    <definedName name="CommandeRationPoneysMaQ">'coût alimentation'!$H$50</definedName>
    <definedName name="CommandeRationPoneysMoQ">'coût alimentation'!$G$50</definedName>
    <definedName name="CommandeRationPorcinsBQ">'coût alimentation'!$F$39</definedName>
    <definedName name="CommandeRationPorcinsMaQ">'coût alimentation'!$H$39</definedName>
    <definedName name="CommandeRationPorcinsMoQ">'coût alimentation'!$G$39</definedName>
    <definedName name="CommandeRationVolaillesBQ">'coût alimentation'!$F$40</definedName>
    <definedName name="CommandeRationVolaillesMaQ">'coût alimentation'!$H$40</definedName>
    <definedName name="CommandeRationVolaillesMoQ">'coût alimentation'!$G$40</definedName>
    <definedName name="CommandeSeigleBQ">'coût alimentation'!$F$28</definedName>
    <definedName name="CommandeSeigleMaQ">'coût alimentation'!$H$28</definedName>
    <definedName name="CommandeSeigleMoQ">'coût alimentation'!$G$28</definedName>
    <definedName name="CommandeSojaBQ">'coût alimentation'!$F$29</definedName>
    <definedName name="CommandeSojaMaQ">'coût alimentation'!$H$29</definedName>
    <definedName name="CommandeSojaMoQ">'coût alimentation'!$G$29</definedName>
    <definedName name="CommandeSorghoEnsiléBQ">'coût alimentation'!$F$30</definedName>
    <definedName name="CommandeSorghoEnsiléMaQ">'coût alimentation'!$H$30</definedName>
    <definedName name="CommandeSorghoEnsiléMoQ">'coût alimentation'!$G$30</definedName>
    <definedName name="CommandeTournesolBQ">'coût alimentation'!$F$31</definedName>
    <definedName name="CommandeTournesolMaQ">'coût alimentation'!$H$31</definedName>
    <definedName name="CommandeTournesolMoQ">'coût alimentation'!$G$31</definedName>
    <definedName name="CommandeTourteauColzaBQ">'coût alimentation'!$F$32</definedName>
    <definedName name="CommandeTourteauColzaMaQ">'coût alimentation'!$H$32</definedName>
    <definedName name="CommandeTourteauColzaMoQ">'coût alimentation'!$G$32</definedName>
    <definedName name="CommandeTourteauTournesolBQ">'coût alimentation'!$F$33</definedName>
    <definedName name="CommandeTourteauTournesolMaQ">'coût alimentation'!$H$33</definedName>
    <definedName name="CommandeTourteauTournesolMoQ">'coût alimentation'!$G$33</definedName>
    <definedName name="CommandeTriticaleBQ">'coût alimentation'!$F$34</definedName>
    <definedName name="CommandeTriticaleMaQ">'coût alimentation'!$H$34</definedName>
    <definedName name="CommandeTriticaleMoQ">'coût alimentation'!$G$34</definedName>
    <definedName name="ConcentréBovins">'coût alimentation'!$B$15</definedName>
    <definedName name="ConcentréBovinsNécessaireBQ">'coût alimentation'!$C$15</definedName>
    <definedName name="ConcentréBovinsNécessaireMaQ">'coût alimentation'!$E$15</definedName>
    <definedName name="ConcentréBovinsNécessaireMoQ">'coût alimentation'!$D$15</definedName>
    <definedName name="ConcentréLapins">'coût alimentation'!$B$16</definedName>
    <definedName name="ConcentréLapinsNécessaireBQ">'coût alimentation'!$C$16</definedName>
    <definedName name="ConcentréLapinsNécessaireMaQ">'coût alimentation'!$E$16</definedName>
    <definedName name="ConcentréLapinsNécessaireMoQ">'coût alimentation'!$D$16</definedName>
    <definedName name="ConcentréPorcins">'coût alimentation'!$B$17</definedName>
    <definedName name="ConcentréPorcinsNécessaireBQ">'coût alimentation'!$C$17</definedName>
    <definedName name="ConcentréPorcinsNécessaireMaQ">'coût alimentation'!$E$17</definedName>
    <definedName name="ConcentréPorcinsNécessaireMoQ">'coût alimentation'!$D$17</definedName>
    <definedName name="CoutBatiments">cout_et_consommation_batiments[[Batiments]:[Coût/unité]]</definedName>
    <definedName name="CoutEcurie">BDD!$C$10</definedName>
    <definedName name="CoutPaillageAnnuelBovins">animaux!$L$23</definedName>
    <definedName name="CoutPaillageAnnuelCanards">animaux!$L$165</definedName>
    <definedName name="CoutPaillageAnnuelCaprins">animaux!$L$56</definedName>
    <definedName name="CoutPaillageAnnuelChevauxSelle">animaux!$L$243</definedName>
    <definedName name="CoutPaillageAnnuelChevauxTrait">animaux!$L$257</definedName>
    <definedName name="CoutPaillageAnnuelLapins">animaux!$L$133</definedName>
    <definedName name="CoutPaillageAnnuelOies">animaux!$L$149</definedName>
    <definedName name="CoutPaillageAnnuelOvins">animaux!$L$210</definedName>
    <definedName name="CoutPaillageAnnuelPintades">animaux!$L$113</definedName>
    <definedName name="CoutPaillageAnnuelPoneys">animaux!$L$271</definedName>
    <definedName name="CoutPaillageAnnuelPorcins">animaux!$L$75</definedName>
    <definedName name="CoutPaillageAnnuelVolailles">animaux!$L$94</definedName>
    <definedName name="CoutParcVolailles">BDD!$C$44</definedName>
    <definedName name="CoutPoulailler">BDD!$C$17</definedName>
    <definedName name="Cultures">BDD!$L$3</definedName>
    <definedName name="Daims">#REF!</definedName>
    <definedName name="DuréeDeStockage">'coût alimentation'!$B$6</definedName>
    <definedName name="DuréePhaseElevage0_1">BDD!#REF!</definedName>
    <definedName name="DuréePhaseElevage1_2">BDD!#REF!</definedName>
    <definedName name="DuréePhaseElevage2_3">BDD!#REF!</definedName>
    <definedName name="DuréePhaseGavageCanards">BDD!#REF!</definedName>
    <definedName name="DuréePhaseGavageOie">BDD!#REF!</definedName>
    <definedName name="Eau">'coût alimentation'!$B$19</definedName>
    <definedName name="EauNécessaire">'coût alimentation'!$C$19</definedName>
    <definedName name="EcuriesPoneys">#REF!</definedName>
    <definedName name="EcuriesSelle">#REF!</definedName>
    <definedName name="EcuriesTrait">#REF!</definedName>
    <definedName name="Elevage">BDD!$L$2</definedName>
    <definedName name="ElevageLapinsConventionnel">BDD!#REF!</definedName>
    <definedName name="ElevagePintadesIntensif">BDD!#REF!</definedName>
    <definedName name="ElevagePorcinsCaillebottis">BDD!#REF!</definedName>
    <definedName name="ElevagePorcinsLitière">BDD!#REF!</definedName>
    <definedName name="ElevagePorcinsPleinAir">BDD!#REF!</definedName>
    <definedName name="ElevageVolaillesIntensif">BDD!#REF!</definedName>
    <definedName name="EnsilageHerbe">'coût alimentation'!$B$18</definedName>
    <definedName name="EnsilageHerbeNécessaireBQ">'coût alimentation'!$C$18</definedName>
    <definedName name="EnsilageHerbeNécessaireMaQ">'coût alimentation'!$E$18</definedName>
    <definedName name="EnsilageHerbeNécessaireMoQ">'coût alimentation'!$D$18</definedName>
    <definedName name="faon_mâle_0_3_mois">animaux!$C$215</definedName>
    <definedName name="faon_mâle_3_6_mois">animaux!$C$217</definedName>
    <definedName name="faon_mâle_6_12_mois">animaux!$C$219</definedName>
    <definedName name="FaonFemelle_0_3_mois">animaux!$C$216</definedName>
    <definedName name="FaonFemelle_3_6_mois">animaux!$C$218</definedName>
    <definedName name="FaonFemelle_6_12_mois">animaux!$C$220</definedName>
    <definedName name="Féverole">'coût alimentation'!$B$20</definedName>
    <definedName name="FéveroleNécessaireBQ">'coût alimentation'!$C$20</definedName>
    <definedName name="FéveroleNécessaireMaQ">'coût alimentation'!$E$20</definedName>
    <definedName name="FéveroleNécessaireMoQ">'coût alimentation'!$D$20</definedName>
    <definedName name="FoieGrasCanetons_0_1mois">animaux!$C$187</definedName>
    <definedName name="FoieGrasCanetons_1_2mois">animaux!$C$188</definedName>
    <definedName name="FoieGrasCanetons_2_3mois">animaux!$C$189</definedName>
    <definedName name="FoieGrasJeunesOies_3moisEtPlus">animaux!$G$171</definedName>
    <definedName name="FoieGrasOison_0_1mois">animaux!$C$171</definedName>
    <definedName name="FoieGrasOison_1_2mois">animaux!$C$172</definedName>
    <definedName name="FoieGrasOison_2_3mois">animaux!$C$173</definedName>
    <definedName name="FoieGrasTotalOisons">animaux!$C$171:$C$173</definedName>
    <definedName name="Foin">'coût alimentation'!$B$21</definedName>
    <definedName name="FoinNécessaireBQ">'coût alimentation'!$C$21</definedName>
    <definedName name="FoinNécessaireMaQ">'coût alimentation'!$E$21</definedName>
    <definedName name="FoinNécessaireMoQ">'coût alimentation'!$D$21</definedName>
    <definedName name="France">BDD!$M$6</definedName>
    <definedName name="HerbeMangéeParAgneauParJour">BDD!#REF!</definedName>
    <definedName name="HerbeMangéeParBélierParJour">BDD!#REF!</definedName>
    <definedName name="HerbeMangéeParBoucParJour">BDD!$BZ$17</definedName>
    <definedName name="HerbeMangéeParBrebisParJour">BDD!#REF!</definedName>
    <definedName name="HerbeMangéeParChevauxSelleAdultesParJour">BDD!#REF!</definedName>
    <definedName name="HerbeMangéeParChevauxTraitAdultesParJour">BDD!#REF!</definedName>
    <definedName name="HerbeMangéeParChevreauParJour">BDD!$BZ$21</definedName>
    <definedName name="HerbeMangéeParChèvreParJour">BDD!$BZ$18</definedName>
    <definedName name="HerbeMangéeParDaimParJour">BDD!#REF!</definedName>
    <definedName name="HerbeMangéeParFaonParJour">BDD!#REF!</definedName>
    <definedName name="HerbeMangéeParGenisseParJour">BDD!$BG$40</definedName>
    <definedName name="HerbeMangéeParJeuneBélierEtJeuneBrebisParJour">BDD!#REF!</definedName>
    <definedName name="HerbeMangéeParJeuneBoucEtJeuneChèvreParJour">BDD!$BZ$20</definedName>
    <definedName name="HerbeMangéeParJeuneChevauxTraitParJour">BDD!#REF!</definedName>
    <definedName name="HerbeMangéeParJeuneDaimParJour">BDD!#REF!</definedName>
    <definedName name="HerbeMangéeParJeunePoneyParJour">BDD!#REF!</definedName>
    <definedName name="HerbeMangéeParJeunesChevauxSelleParJour">BDD!#REF!</definedName>
    <definedName name="HerbeMangéeParPoneyAdulteParJour">BDD!#REF!</definedName>
    <definedName name="HerbeMangéeParPoulainPoneyParJour">BDD!#REF!</definedName>
    <definedName name="HerbeMangéeParPoulainSelleParJour">BDD!#REF!</definedName>
    <definedName name="HerbeMangéeParPoulainTraitParJour">BDD!#REF!</definedName>
    <definedName name="HerbeMangéeParTaureauParJour">BDD!$BG$37</definedName>
    <definedName name="HerbeMangéeParTaurillonParJour">BDD!$BG$39</definedName>
    <definedName name="HerbeMangéeParVacheParJour">BDD!$BG$38</definedName>
    <definedName name="HerbeMangéeParVeauParJour">BDD!$BG$41</definedName>
    <definedName name="jars">animaux!$C$142</definedName>
    <definedName name="jeune_bouc_6_12_mois">animaux!$C$49</definedName>
    <definedName name="jeune_canard_3_6_mois">animaux!$C$156</definedName>
    <definedName name="jeune_cane_3_6_mois">animaux!$C$157</definedName>
    <definedName name="jeune_chèvre_6_12_mois">animaux!$C$50</definedName>
    <definedName name="jeune_jars_3_6_mois">animaux!$C$140</definedName>
    <definedName name="jeune_oie_3_6_mois">animaux!$C$141</definedName>
    <definedName name="jeune_truie_3_6_mois">animaux!$C$66</definedName>
    <definedName name="jeune_truie_6_12_mois">animaux!$C$68</definedName>
    <definedName name="jeune_verrat_3_6_mois">animaux!$C$65</definedName>
    <definedName name="jeune_verrat_6_12_mois">animaux!$C$67</definedName>
    <definedName name="JeuneCoq_1_6_mois">animaux!$C$82</definedName>
    <definedName name="JeuneDaim_12_18_mois">animaux!$C$221</definedName>
    <definedName name="JeuneDaim_18_24_mois">animaux!$C$223</definedName>
    <definedName name="JeuneDaim_24_36_mois">animaux!$C$225</definedName>
    <definedName name="JeuneDaine_12_18_mois">animaux!$C$222</definedName>
    <definedName name="JeuneDaine_18_24_mois">animaux!$C$224</definedName>
    <definedName name="JeuneDaine_24_36_mois">animaux!$C$226</definedName>
    <definedName name="JeunePintadeFemelle_1_9_mois">animaux!$C$102</definedName>
    <definedName name="JeunePintadeMâle_1_9_mois">animaux!$C$101</definedName>
    <definedName name="JeunePoule_1_6_mois">animaux!$C$83</definedName>
    <definedName name="ListeBovins" localSheetId="0">animaux!$AC:$AC</definedName>
    <definedName name="ListeCatégorie">BDD!#REF!</definedName>
    <definedName name="ListeChevauxSelle">'[1]chevaux de selle'!$AC:$AC</definedName>
    <definedName name="ListeChevauxTrait">'[1]chevaux de trait'!$AC:$AC</definedName>
    <definedName name="ListeCultures">#REF!</definedName>
    <definedName name="ListeCulturesBDD">BDD!#REF!</definedName>
    <definedName name="ListeDivers">BDD!#REF!</definedName>
    <definedName name="ListeMatériels">BDD!#REF!</definedName>
    <definedName name="ListeModèles">BDD!#REF!</definedName>
    <definedName name="ListePays">BDD!#REF!</definedName>
    <definedName name="ListePoneys">[1]poneys!$AC:$AC</definedName>
    <definedName name="ListeRegions">BDD!#REF!</definedName>
    <definedName name="ListeVergersBDD">BDD!#REF!</definedName>
    <definedName name="Luzerne">BDD!#REF!</definedName>
    <definedName name="MaïsEnsilé">'coût alimentation'!$B$22</definedName>
    <definedName name="MaïsEnsiléNécessaireBQ">'coût alimentation'!$C$22</definedName>
    <definedName name="MaïsEnsiléNécessaireMaQ">'coût alimentation'!$E$22</definedName>
    <definedName name="MaïsEnsiléNécessaireMoQ">'coût alimentation'!$D$22</definedName>
    <definedName name="MaïsGrain">'coût alimentation'!$B$23</definedName>
    <definedName name="MaïsGrainNécessaireBQ">'coût alimentation'!$C$23</definedName>
    <definedName name="MaïsGrainNécessaireMaQ">'coût alimentation'!$E$23</definedName>
    <definedName name="MaïsGrainNécessaireMoQ">'coût alimentation'!$D$23</definedName>
    <definedName name="MAUVAISE">BDD!$J$4</definedName>
    <definedName name="Minéraux">'coût alimentation'!$B$24</definedName>
    <definedName name="MinérauxNécessaireBQ">'coût alimentation'!$C$24</definedName>
    <definedName name="MinérauxNécessaireMaQ">'coût alimentation'!$E$24</definedName>
    <definedName name="MinérauxNécessaireMoQ">'coût alimentation'!$D$24</definedName>
    <definedName name="Miscanthus">BDD!#REF!</definedName>
    <definedName name="Moutarde">BDD!#REF!</definedName>
    <definedName name="MOYENNE">BDD!$J$3</definedName>
    <definedName name="NbreBisonsFemellesAuPré_0_3Mois">BDD!$S$92</definedName>
    <definedName name="NbreBisonsFemellesAuPré_12_18Mois">BDD!$S$98</definedName>
    <definedName name="NbreBisonsFemellesAuPré_18_24Mois">BDD!$S$100</definedName>
    <definedName name="NbreBisonsFemellesAuPré_24_36Mois">BDD!$S$102</definedName>
    <definedName name="NbreBisonsFemellesAuPré_3_6Mois">BDD!$S$94</definedName>
    <definedName name="NbreBisonsFemellesAuPré_3AnsEtPlus">BDD!$S$104</definedName>
    <definedName name="NbreBisonsFemellesAuPré_6_12Mois">BDD!$S$96</definedName>
    <definedName name="NbreBisonsMâlesAuPré_0_3Mois">BDD!$S$91</definedName>
    <definedName name="NbreBisonsMâlesAuPré_12_18Mois">BDD!$S$97</definedName>
    <definedName name="NbreBisonsMâlesAuPré_18_24Mois">BDD!$S$99</definedName>
    <definedName name="NbreBisonsMâlesAuPré_24_36Mois">BDD!$S$101</definedName>
    <definedName name="NbreBisonsMâlesAuPré_3_6Mois">BDD!$S$93</definedName>
    <definedName name="NbreBisonsMâlesAuPré_3AnsEtPlus">BDD!$S$103</definedName>
    <definedName name="NbreBisonsMâlesAuPré_6_12Mois">BDD!$S$95</definedName>
    <definedName name="NbreBovinsAuPré">AnimauxAuPré[bovins]</definedName>
    <definedName name="NbreBovinsFemellesAuPré_0_3Mois">BDD!$P$92</definedName>
    <definedName name="NbreBovinsFemellesAuPré_12_18Mois">BDD!$P$98</definedName>
    <definedName name="NbreBovinsFemellesAuPré_18_24Mois">BDD!$P$100</definedName>
    <definedName name="NbreBovinsFemellesAuPré_24_36Mois">BDD!$P$102</definedName>
    <definedName name="NbreBovinsFemellesAuPré_3_6Mois">BDD!$P$94</definedName>
    <definedName name="NbreBovinsFemellesAuPré_3AnsEtPlus">BDD!$P$104</definedName>
    <definedName name="NbreBovinsFemellesAuPré_6_12Mois">BDD!$P$96</definedName>
    <definedName name="NbreBovinsMâlesAuPré_0_3Mois">BDD!$P$91</definedName>
    <definedName name="NbreBovinsMâlesAuPré_12_18Mois">BDD!$P$97</definedName>
    <definedName name="NbreBovinsMâlesAuPré_18_24Mois">BDD!$P$99</definedName>
    <definedName name="NbreBovinsMâlesAuPré_24_36Mois">BDD!$P$101</definedName>
    <definedName name="NbreBovinsMâlesAuPré_3_6Mois">BDD!$P$93</definedName>
    <definedName name="NbreBovinsMâlesAuPré_3AnsEtPlus">BDD!$P$103</definedName>
    <definedName name="NbreBovinsMâlesAuPré_6_12Mois">BDD!$P$95</definedName>
    <definedName name="NbreCaprinsFemellesAuPré_0_3Mois">BDD!$R$92</definedName>
    <definedName name="NbreCaprinsFemellesAuPré_12_18Mois">BDD!$R$98</definedName>
    <definedName name="NbreCaprinsFemellesAuPré_18_24Mois">BDD!$R$100</definedName>
    <definedName name="NbreCaprinsFemellesAuPré_24_36Mois">BDD!$R$102</definedName>
    <definedName name="NbreCaprinsFemellesAuPré_3_6Mois">BDD!$R$94</definedName>
    <definedName name="NbreCaprinsFemellesAuPré_3AnsEtPlus">BDD!$R$104</definedName>
    <definedName name="NbreCaprinsFemellesAuPré_6_12Mois">BDD!$R$96</definedName>
    <definedName name="NbreCaprinsMâlesAuPré_0_3Mois">BDD!$R$91</definedName>
    <definedName name="NbreCaprinsMâlesAuPré_12_18Mois">BDD!$R$97</definedName>
    <definedName name="NbreCaprinsMâlesAuPré_18_24Mois">BDD!$R$99</definedName>
    <definedName name="NbreCaprinsMâlesAuPré_24_36Mois">BDD!$R$101</definedName>
    <definedName name="NbreCaprinsMâlesAuPré_3_6Mois">BDD!$R$93</definedName>
    <definedName name="NbreCaprinsMâlesAuPré_3AnsEtPlus">BDD!$R$103</definedName>
    <definedName name="NbreCaprinsMâlesAuPré_6_12Mois">BDD!$R$95</definedName>
    <definedName name="NbreChevauxSelleFemellesAuPré_0_3Mois">BDD!$U$92</definedName>
    <definedName name="NbreChevauxSelleFemellesAuPré_12_18Mois">BDD!$U$98</definedName>
    <definedName name="NbreChevauxSelleFemellesAuPré_18_24Mois">BDD!$U$100</definedName>
    <definedName name="NbreChevauxSelleFemellesAuPré_24_36Mois">BDD!$U$102</definedName>
    <definedName name="NbreChevauxSelleFemellesAuPré_3_6Mois">BDD!$U$94</definedName>
    <definedName name="NbreChevauxSelleFemellesAuPré_3AnsEtPlus">BDD!$U$104</definedName>
    <definedName name="NbreChevauxSelleFemellesAuPré_6_12Mois">BDD!$U$96</definedName>
    <definedName name="NbreChevauxSelleMâlesAuPré_0_3Mois">BDD!$U$91</definedName>
    <definedName name="NbreChevauxSelleMâlesAuPré_12_18Mois">BDD!$U$97</definedName>
    <definedName name="NbreChevauxSelleMâlesAuPré_18_24Mois">BDD!$U$99</definedName>
    <definedName name="NbreChevauxSelleMâlesAuPré_24_36Mois">BDD!$U$101</definedName>
    <definedName name="NbreChevauxSelleMâlesAuPré_3_6Mois">BDD!$U$93</definedName>
    <definedName name="NbreChevauxSelleMâlesAuPré_3AnsEtPlus">BDD!$U$103</definedName>
    <definedName name="NbreChevauxSelleMâlesAuPré_6_12Mois">BDD!$U$95</definedName>
    <definedName name="NbreChevauxTraitFemellesAuPré_0_3Mois">BDD!$V$92</definedName>
    <definedName name="NbreChevauxTraitFemellesAuPré_12_18Mois">BDD!$V$98</definedName>
    <definedName name="NbreChevauxTraitFemellesAuPré_18_24Mois">BDD!$V$100</definedName>
    <definedName name="NbreChevauxTraitFemellesAuPré_24_36Mois">BDD!$V$102</definedName>
    <definedName name="NbreChevauxTraitFemellesAuPré_3_6Mois">BDD!$V$94</definedName>
    <definedName name="NbreChevauxTraitFemellesAuPré_3AnsEtPlus">BDD!$V$104</definedName>
    <definedName name="NbreChevauxTraitFemellesAuPré_6_12Mois">BDD!$V$96</definedName>
    <definedName name="NbreChevauxTraitMâlesAuPré_0_3Mois">BDD!$V$91</definedName>
    <definedName name="NbreChevauxTraitMâlesAuPré_12_18Mois">BDD!$V$97</definedName>
    <definedName name="NbreChevauxTraitMâlesAuPré_18_24Mois">BDD!$V$99</definedName>
    <definedName name="NbreChevauxTraitMâlesAuPré_24_36Mois">BDD!$V$101</definedName>
    <definedName name="NbreChevauxTraitMâlesAuPré_3_6Mois">BDD!$V$93</definedName>
    <definedName name="NbreChevauxTraitMâlesAuPré_3AnsEtPlus">BDD!$V$103</definedName>
    <definedName name="NbreChevauxTraitMâlesAuPré_6_12Mois">BDD!$V$95</definedName>
    <definedName name="NbreDaimsFemellesAuPré_0_3Mois">BDD!$T$92</definedName>
    <definedName name="NbreDaimsFemellesAuPré_12_18Mois">BDD!$T$98</definedName>
    <definedName name="NbreDaimsFemellesAuPré_18_24Mois">BDD!$T$100</definedName>
    <definedName name="NbreDaimsFemellesAuPré_24_36Mois">BDD!$T$102</definedName>
    <definedName name="NbreDaimsFemellesAuPré_3_6Mois">BDD!$T$94</definedName>
    <definedName name="NbreDaimsFemellesAuPré_3AnsEtPlus">BDD!$T$104</definedName>
    <definedName name="NbreDaimsFemellesAuPré_6_12Mois">BDD!$T$96</definedName>
    <definedName name="NbreDaimsMâlesAuPré_0_3Mois">BDD!$T$91</definedName>
    <definedName name="NbreDaimsMâlesAuPré_12_18Mois">BDD!$T$97</definedName>
    <definedName name="NbreDaimsMâlesAuPré_18_24Mois">BDD!$T$99</definedName>
    <definedName name="NbreDaimsMâlesAuPré_24_36Mois">BDD!$T$101</definedName>
    <definedName name="NbreDaimsMâlesAuPré_3_6Mois">BDD!$T$93</definedName>
    <definedName name="NbreDaimsMâlesAuPré_3AnsEtPlus">BDD!$T$103</definedName>
    <definedName name="NbreDaimsMâlesAuPré_6_12Mois">BDD!$T$95</definedName>
    <definedName name="NbreFemelles_0_3MoisAuPréEté">#REF!</definedName>
    <definedName name="NbreFemelles_12_18MoisAuPréEté">#REF!</definedName>
    <definedName name="NbreFemelles_18_24MoisAuPréEté">#REF!</definedName>
    <definedName name="NbreFemelles_24_36MoisAuPréEté">#REF!</definedName>
    <definedName name="NbreFemelles_3_6MoisAuPréEté">#REF!</definedName>
    <definedName name="NbreFemelles_3_AnsEtPlusAuPréEté">#REF!</definedName>
    <definedName name="NbreFemelles_6_12MoisAuPréEté">#REF!</definedName>
    <definedName name="NbreJoursNourrirAutres">BDD!$Z$76:$Z$100</definedName>
    <definedName name="NbreJoursNourrirBisonsDaims">BDD!$AB$76:$AB$100</definedName>
    <definedName name="NbreJoursNourrirBovins">BDD!$AA$76:$AA$100</definedName>
    <definedName name="NbreJoursNourrirCaprins">BDD!$AC$76:$AC$100</definedName>
    <definedName name="NbreJoursNourrirChevauxSelle">BDD!$AE$76:$AE$100</definedName>
    <definedName name="NbreJoursNourrirChevauxTrait">BDD!$AF$76:$AF$100</definedName>
    <definedName name="NbreJoursNourrirOvins">BDD!$AD$76:$AD$100</definedName>
    <definedName name="NbreJoursNourrirPoneys">BDD!$AG$76:$AG$100</definedName>
    <definedName name="NbreMâles_0_3MoisAuPréEté">#REF!</definedName>
    <definedName name="NbreMâles_12_18MoisAuPréEté">#REF!</definedName>
    <definedName name="NbreMâles_18_24MoisAuPréEté">#REF!</definedName>
    <definedName name="NbreMâles_24_36MoisAuPréEté">#REF!</definedName>
    <definedName name="NbreMâles_3_6MoisAuPréEté">#REF!</definedName>
    <definedName name="NbreMâles_3_AnsEtPlusAuPréEté">#REF!</definedName>
    <definedName name="NbreMâles_6_12MoisAuPréEté">#REF!</definedName>
    <definedName name="NbreOvinsFemellesAuPré_0_3Mois">BDD!$Q$92</definedName>
    <definedName name="NbreOvinsFemellesAuPré_12_18Mois">BDD!$Q$98</definedName>
    <definedName name="NbreOvinsFemellesAuPré_18_24Mois">BDD!$Q$100</definedName>
    <definedName name="NbreOvinsFemellesAuPré_24_36Mois">BDD!$Q$102</definedName>
    <definedName name="NbreOvinsFemellesAuPré_3_6Mois">BDD!$Q$94</definedName>
    <definedName name="NbreOvinsFemellesAuPré_3AnsEtPlus">BDD!$Q$104</definedName>
    <definedName name="NbreOvinsFemellesAuPré_6_12Mois">BDD!$Q$96</definedName>
    <definedName name="NbreOvinsMâlesAuPré_0_3Mois">BDD!$Q$91</definedName>
    <definedName name="NbreOvinsMâlesAuPré_12_18Mois">BDD!$Q$97</definedName>
    <definedName name="NbreOvinsMâlesAuPré_18_24Mois">BDD!$Q$99</definedName>
    <definedName name="NbreOvinsMâlesAuPré_24_36Mois">BDD!$Q$101</definedName>
    <definedName name="NbreOvinsMâlesAuPré_3_6Mois">BDD!$Q$93</definedName>
    <definedName name="NbreOvinsMâlesAuPré_3AnsEtPlus">BDD!$Q$103</definedName>
    <definedName name="NbreOvinsMâlesAuPré_6_12Mois">BDD!$Q$95</definedName>
    <definedName name="NbrePoneysFemellesAuPré_0_3Mois">BDD!$W$92</definedName>
    <definedName name="NbrePoneysFemellesAuPré_12_18Mois">BDD!$W$98</definedName>
    <definedName name="NbrePoneysFemellesAuPré_18_24Mois">BDD!$W$100</definedName>
    <definedName name="NbrePoneysFemellesAuPré_24_36Mois">BDD!$W$102</definedName>
    <definedName name="NbrePoneysFemellesAuPré_3_6Mois">BDD!$W$94</definedName>
    <definedName name="NbrePoneysFemellesAuPré_3AnsEtPlus">BDD!$W$104</definedName>
    <definedName name="NbrePoneysFemellesAuPré_6_12Mois">BDD!$W$96</definedName>
    <definedName name="NbrePoneysMâlesAuPré_0_3Mois">BDD!$W$91</definedName>
    <definedName name="NbrePoneysMâlesAuPré_12_18Mois">BDD!$W$97</definedName>
    <definedName name="NbrePoneysMâlesAuPré_18_24Mois">BDD!$W$99</definedName>
    <definedName name="NbrePoneysMâlesAuPré_24_36Mois">BDD!$W$101</definedName>
    <definedName name="NbrePoneysMâlesAuPré_3_6Mois">BDD!$W$93</definedName>
    <definedName name="NbrePoneysMâlesAuPré_3AnsEtPlus">BDD!$W$103</definedName>
    <definedName name="NbrePoneysMâlesAuPré_6_12Mois">BDD!$W$95</definedName>
    <definedName name="NON">BDD!$M$3</definedName>
    <definedName name="oie">animaux!$C$143</definedName>
    <definedName name="oison_femelle_0_3_mois">animaux!$C$139</definedName>
    <definedName name="oison_mâle_0_3_mois">animaux!$C$138</definedName>
    <definedName name="Orge">'coût alimentation'!$B$25</definedName>
    <definedName name="OrgeNécessaireBQ">'coût alimentation'!$C$25</definedName>
    <definedName name="OrgeNécessaireMaQ">'coût alimentation'!$E$25</definedName>
    <definedName name="OrgeNécessaireMoQ">'coût alimentation'!$D$25</definedName>
    <definedName name="OUI">BDD!$M$2</definedName>
    <definedName name="Ovins">#REF!</definedName>
    <definedName name="Paille">'coût alimentation'!$B$26</definedName>
    <definedName name="PailleNécessaireBQ">'coût alimentation'!$C$26</definedName>
    <definedName name="PailleNécessaireMaQ">'coût alimentation'!$E$26</definedName>
    <definedName name="PailleNécessaireMoQ">'coût alimentation'!$D$26</definedName>
    <definedName name="ParcsCanards">#REF!</definedName>
    <definedName name="ParcsLapins">#REF!</definedName>
    <definedName name="ParcsOies">#REF!</definedName>
    <definedName name="ParcsPintades">#REF!</definedName>
    <definedName name="ParcsPorcins">#REF!</definedName>
    <definedName name="ParcsVolailles">#REF!</definedName>
    <definedName name="Phacélie">BDD!#REF!</definedName>
    <definedName name="pintadeau_mâle_0_1_mois">animaux!$C$99</definedName>
    <definedName name="PintadeauFemelle_0_1_mois">animaux!$C$100</definedName>
    <definedName name="PlaceRestanteDansEntrepôtsAprèsCommande">#REF!</definedName>
    <definedName name="Pois">'coût alimentation'!$B$27</definedName>
    <definedName name="PoisNécessaireBQ">'coût alimentation'!$C$27</definedName>
    <definedName name="PoisNécessaireMaQ">'coût alimentation'!$E$27</definedName>
    <definedName name="PoisNécessaireMoQ">'coût alimentation'!$D$27</definedName>
    <definedName name="Poneys">#REF!</definedName>
    <definedName name="porcelet_femelle_0_1_mois">animaux!$C$62</definedName>
    <definedName name="porcelet_femelle_1_3_mois">animaux!$C$64</definedName>
    <definedName name="porcelet_mâle_0_1_mois">animaux!$C$61</definedName>
    <definedName name="porcelet_mâle_1_3_mois">animaux!$C$63</definedName>
    <definedName name="Porcherie">#REF!</definedName>
    <definedName name="PoulaillerCanards">#REF!</definedName>
    <definedName name="PoulaillerOies">#REF!</definedName>
    <definedName name="PoulaillerPintades">#REF!</definedName>
    <definedName name="PoulaillersVolailles">#REF!</definedName>
    <definedName name="poussin_femelle_0_1_mois">animaux!$C$81</definedName>
    <definedName name="PrixAvoine">'coût alimentation'!$J$9</definedName>
    <definedName name="PrixBetterave">'coût alimentation'!$J$10</definedName>
    <definedName name="PrixBlé">'coût alimentation'!$J$11</definedName>
    <definedName name="PrixBouchonsLuzerne">'coût alimentation'!$J$12</definedName>
    <definedName name="PrixCanola">'coût alimentation'!$J$13</definedName>
    <definedName name="PrixColza">'coût alimentation'!$J$14</definedName>
    <definedName name="PrixConcentréBovin">'coût alimentation'!$J$15</definedName>
    <definedName name="PrixConcentréLapin">'coût alimentation'!$J$16</definedName>
    <definedName name="PrixConcentréPorcin">'coût alimentation'!$J$17</definedName>
    <definedName name="PrixEau">'coût alimentation'!$J$19</definedName>
    <definedName name="PrixEnsilageHerbe">'coût alimentation'!$J$18</definedName>
    <definedName name="PrixFeverole">'coût alimentation'!$J$20</definedName>
    <definedName name="PrixFoin">'coût alimentation'!$J$21</definedName>
    <definedName name="PrixMaïsEnsilé">'coût alimentation'!$J$22</definedName>
    <definedName name="PrixMaïsGrain">'coût alimentation'!$J$23</definedName>
    <definedName name="PrixMinéraux">'coût alimentation'!$J$24</definedName>
    <definedName name="PrixOrge">'coût alimentation'!$J$25</definedName>
    <definedName name="PrixPaille">'coût alimentation'!$J$26</definedName>
    <definedName name="PrixPois">'coût alimentation'!$J$27</definedName>
    <definedName name="PrixRationBisons">'coût alimentation'!$J$37</definedName>
    <definedName name="PrixRationBovins">'coût alimentation'!$J$35</definedName>
    <definedName name="PrixRationCanards">'coût alimentation'!$J$44</definedName>
    <definedName name="PrixRationCaprins">'coût alimentation'!$J$38</definedName>
    <definedName name="PrixRationChevauxSelle">'coût alimentation'!$J$48</definedName>
    <definedName name="PrixRationChevauxTrait">'coût alimentation'!$J$49</definedName>
    <definedName name="PrixRationDaims">'coût alimentation'!$J$47</definedName>
    <definedName name="PrixRationHiverBovins">'coût alimentation'!$J$36</definedName>
    <definedName name="PrixRationHiverOvins">'coût alimentation'!$J$46</definedName>
    <definedName name="PrixRationLapins">'coût alimentation'!$J$42</definedName>
    <definedName name="PrixRationOies">'coût alimentation'!$J$43</definedName>
    <definedName name="PrixRationOvins">'coût alimentation'!$J$45</definedName>
    <definedName name="PrixRationPintades">'coût alimentation'!$J$41</definedName>
    <definedName name="PrixRationPoneys">'coût alimentation'!$J$50</definedName>
    <definedName name="PrixRationPorcins">'coût alimentation'!$J$39</definedName>
    <definedName name="PrixRationVolailles">'coût alimentation'!$J$40</definedName>
    <definedName name="PrixSeigle">'coût alimentation'!$J$28</definedName>
    <definedName name="PrixSoja">'coût alimentation'!$J$29</definedName>
    <definedName name="PrixSorghoEnsilé">'coût alimentation'!$J$30</definedName>
    <definedName name="PrixTournesol">'coût alimentation'!$J$31</definedName>
    <definedName name="PrixTourteauColza">'coût alimentation'!$J$32</definedName>
    <definedName name="PrixTourteauTournesol">'coût alimentation'!$J$33</definedName>
    <definedName name="PrixTriticale">'coût alimentation'!$J$34</definedName>
    <definedName name="PrixVaccinBison">BDD!$BT$6</definedName>
    <definedName name="PrixVaccinBovin">BDD!$BH$22</definedName>
    <definedName name="PrixVaccinCanard">BDD!#REF!</definedName>
    <definedName name="PrixVaccinCaprin">BDD!$CA$5</definedName>
    <definedName name="PrixVaccinChevauxSelle">BDD!#REF!</definedName>
    <definedName name="PrixVaccinChevauxTrait">BDD!#REF!</definedName>
    <definedName name="PrixVaccinDaim">BDD!#REF!</definedName>
    <definedName name="PrixVaccinLapin">BDD!#REF!</definedName>
    <definedName name="PrixVaccinOie">BDD!#REF!</definedName>
    <definedName name="PrixVaccinOvin">BDD!#REF!</definedName>
    <definedName name="PrixVaccinPintade">BDD!#REF!</definedName>
    <definedName name="prixVaccinPoney">BDD!#REF!</definedName>
    <definedName name="PrixVaccinPorcin">BDD!#REF!</definedName>
    <definedName name="PrixVaccinVolaille">BDD!#REF!</definedName>
    <definedName name="PrixVenteCultures">BDD!#REF!</definedName>
    <definedName name="ProductionLaitBovins">BDD!$BF$9:$BF$26</definedName>
    <definedName name="ProductionLaitCaprins">BDD!$CB$7:$CB$14</definedName>
    <definedName name="ProductionLaitOvins">BDD!#REF!</definedName>
    <definedName name="QtéArticleDansEntrepôt">#REF!</definedName>
    <definedName name="QtéRationComplèteHivernaleBison_0_3Mois">BDD!$BV$11</definedName>
    <definedName name="QtéRationComplèteHivernaleBison_12_18Mois">BDD!$BS$11</definedName>
    <definedName name="QtéRationComplèteHivernaleBison_18_24Mois">BDD!$BR$11</definedName>
    <definedName name="QtéRationComplèteHivernaleBison_24_36Mois">BDD!$BQ$11</definedName>
    <definedName name="QtéRationComplèteHivernaleBison_3_6Mois">BDD!$BU$11</definedName>
    <definedName name="QtéRationComplèteHivernaleBison_3AnsEtPlus">BDD!$BP$11</definedName>
    <definedName name="QtéRationComplèteHivernaleBison_6_12Mois">BDD!$BT$11</definedName>
    <definedName name="QtéRationComplèteHivernaleBovin_0_3Mois">BDD!$BK$173</definedName>
    <definedName name="QtéRationComplèteHivernaleBovin_12_18Mois">BDD!$BH$173</definedName>
    <definedName name="QtéRationComplèteHivernaleBovin_18_24Mois">BDD!$BG$173</definedName>
    <definedName name="QtéRationComplèteHivernaleBovin_24_36Mois">BDD!$BF$173</definedName>
    <definedName name="QtéRationComplèteHivernaleBovin_3_6Mois">BDD!$BJ$173</definedName>
    <definedName name="QtéRationComplèteHivernaleBovin_3AnsEtPlus">BDD!$BE$173</definedName>
    <definedName name="QtéRationComplèteHivernaleBovin_6_12Mois">BDD!$BI$173</definedName>
    <definedName name="QtéRationComplèteHivernaleChevauxSelle0_12Mois">BDD!#REF!</definedName>
    <definedName name="QtéRationComplèteHivernaleChevauxSelle12_14Mois">BDD!#REF!</definedName>
    <definedName name="QtéRationComplèteHivernaleChevauxSelle24_36Mois">BDD!#REF!</definedName>
    <definedName name="QtéRationComplèteHivernaleChevauxSelle3AnsEtPlus">BDD!#REF!</definedName>
    <definedName name="QtéRationComplèteHivernaleChevauxTrait_0_12Mois">BDD!#REF!</definedName>
    <definedName name="QtéRationComplèteHivernaleChevauxTrait_12_24Mois">BDD!#REF!</definedName>
    <definedName name="QtéRationComplèteHivernaleChevauxTrait_24_36Mois">BDD!#REF!</definedName>
    <definedName name="QtéRationComplèteHivernaleChevauxTrait_3AnsEtPlus">BDD!#REF!</definedName>
    <definedName name="QtéRationComplèteHivernaleDaim_0_3Mois">BDD!#REF!</definedName>
    <definedName name="QtéRationComplèteHivernaleDaim_12_18Mois">BDD!#REF!</definedName>
    <definedName name="QtéRationComplèteHivernaleDaim_18_24Mois">BDD!#REF!</definedName>
    <definedName name="QtéRationComplèteHivernaleDaim_24_36Mois">BDD!#REF!</definedName>
    <definedName name="QtéRationComplèteHivernaleDaim_3_6Mois">BDD!#REF!</definedName>
    <definedName name="QtéRationComplèteHivernaleDaim_3AnsEtPlus">BDD!#REF!</definedName>
    <definedName name="QtéRationComplèteHivernaleDaim_6_12Mois">BDD!#REF!</definedName>
    <definedName name="QtéRationComplèteHivernaleOvin_0_3Mois">BDD!#REF!</definedName>
    <definedName name="QtéRationComplèteHivernaleOvin_1AnEtPlus">BDD!#REF!</definedName>
    <definedName name="QtéRationComplèteHivernaleOvin_3_6Mois">BDD!#REF!</definedName>
    <definedName name="QtéRationComplèteHivernaleOvin_6_12Mois">BDD!#REF!</definedName>
    <definedName name="QtéRationComplèteHivernalePoneys_0_12Mois">BDD!#REF!</definedName>
    <definedName name="QtéRationComplèteHivernalePoneys_12_24Mois">BDD!#REF!</definedName>
    <definedName name="QtéRationComplèteHivernalePoneys_24_36Mois">BDD!#REF!</definedName>
    <definedName name="QtéRationComplèteHivernalePoneys_3AnsEtPlus">BDD!#REF!</definedName>
    <definedName name="QualitéAlimentsAgneauFemelle_0_3_mois">animaux!$E$200</definedName>
    <definedName name="QualitéAlimentsAgneauFemelle_3_6_mois">animaux!$E$202</definedName>
    <definedName name="QualitéAlimentsAgneauMâle_0_3_mois">animaux!$E$199</definedName>
    <definedName name="QualitéAlimentsAgneauMâle_3_6_mois">animaux!$E$201</definedName>
    <definedName name="QualitéAlimentsBélier">animaux!$E$205</definedName>
    <definedName name="QualitéAlimentsBisonneauxFemelles_0_3_mois">animaux!$D$29</definedName>
    <definedName name="QualitéAlimentsBisonneauxFemelles_3_6_mois">animaux!$D$31</definedName>
    <definedName name="QualitéAlimentsBisonneauxFemelles_6_12_mois">animaux!$D$33</definedName>
    <definedName name="QualitéAlimentsBisonneauxMâles_0_3_mois">animaux!$D$28</definedName>
    <definedName name="QualitéAlimentsBisonneauxMâles_3_6_mois">animaux!$D$30</definedName>
    <definedName name="QualitéAlimentsBisonneauxMâles_6_12_mois">animaux!$D$32</definedName>
    <definedName name="QualitéAlimentsBisonnes">animaux!$D$41</definedName>
    <definedName name="QualitéAlimentsBisons">animaux!$D$40</definedName>
    <definedName name="QualitéAlimentsBouc">animaux!$D$51</definedName>
    <definedName name="QualitéAlimentsBovins">BDD!$BB$342:$BE$380</definedName>
    <definedName name="QualitéAlimentsBrebis">animaux!$E$206</definedName>
    <definedName name="QualitéAlimentsCanard">animaux!$D$158</definedName>
    <definedName name="QualitéAlimentsCane">animaux!$D$159</definedName>
    <definedName name="QualitéAlimentsCanetonFemelle">animaux!$D$155</definedName>
    <definedName name="QualitéAlimentsCanetonMâle">animaux!$D$154</definedName>
    <definedName name="QualitéAlimentsCaprins">BDD!$BX$196:$CA$234</definedName>
    <definedName name="QualitéAlimentsChèvre">animaux!$D$52</definedName>
    <definedName name="QualitéAlimentsChevreau_0_3_mois">animaux!$D$45</definedName>
    <definedName name="QualitéAlimentsChevreau_3_6_mois">animaux!$D$47</definedName>
    <definedName name="QualitéAlimentsChevrette_0_3_mois">animaux!$D$46</definedName>
    <definedName name="QualitéAlimentsChevrette_3_6_mois">animaux!$D$48</definedName>
    <definedName name="QualitéAlimentsCoq">animaux!$D$84</definedName>
    <definedName name="QualitéAlimentsDaim">animaux!$D$227</definedName>
    <definedName name="QualitéAlimentsDaine">animaux!$D$228</definedName>
    <definedName name="QualitéAlimentsEtalonPoney">animaux!$D$269</definedName>
    <definedName name="QualitéAlimentsEtalonSelle">animaux!$D$241</definedName>
    <definedName name="QualitéAlimentsEtalonTrait">animaux!$D$255</definedName>
    <definedName name="QualitéAlimentsFaonFemelle_0_3_mois">animaux!$D$216</definedName>
    <definedName name="QualitéAlimentsFaonFemelle_3_6_mois">animaux!$D$218</definedName>
    <definedName name="QualitéAlimentsFaonFemelle_6_12_mois">animaux!$D$220</definedName>
    <definedName name="QualitéAlimentsFaonMâle_0_3_mois">animaux!$D$215</definedName>
    <definedName name="QualitéAlimentsFaonMâle_3_6_mois">animaux!$D$217</definedName>
    <definedName name="QualitéAlimentsFaonMâle_6_12_mois">animaux!$D$219</definedName>
    <definedName name="QualitéAlimentsGavageCaneton_0_1_mois">animaux!$D$187</definedName>
    <definedName name="QualitéAlimentsGavageCaneton_1_2_mois">animaux!$D$188</definedName>
    <definedName name="QualitéAlimentsGavageCaneton_2_3_mois">animaux!$D$189</definedName>
    <definedName name="QualitéAlimentsGavageJeuneCanard">animaux!$H$187</definedName>
    <definedName name="QualitéAlimentsGavageJeunesOies">animaux!$H$171</definedName>
    <definedName name="QualitéAlimentsGavageOison_0_1_mois">animaux!$D$171</definedName>
    <definedName name="QualitéAlimentsGavageOison_1_2_mois">animaux!$D$172</definedName>
    <definedName name="QualitéAlimentsGavageOison_2_3_mois">animaux!$D$173</definedName>
    <definedName name="QualitéAlimentsGénisses_12_18_mois">animaux!$E$15</definedName>
    <definedName name="QualitéAlimentsGénisses_18_24_mois">animaux!$E$17</definedName>
    <definedName name="QualitéAlimentsGénisses_24_36_mois">animaux!$E$19</definedName>
    <definedName name="QualitéAlimentsJars">animaux!$D$142</definedName>
    <definedName name="QualitéAlimentsJeuneBélier">animaux!$E$203</definedName>
    <definedName name="QualitéAlimentsJeuneBouc">animaux!$D$49</definedName>
    <definedName name="QualitéAlimentsJeuneBrebis">animaux!$E$204</definedName>
    <definedName name="QualitéAlimentsJeuneCanard">animaux!$D$156</definedName>
    <definedName name="QualitéAlimentsJeuneCane">animaux!$D$157</definedName>
    <definedName name="QualitéAlimentsJeuneChèvre">animaux!$D$50</definedName>
    <definedName name="QualitéAlimentsJeuneCoq">animaux!$D$82</definedName>
    <definedName name="QualitéAlimentsJeuneDaim_12_18_mois">animaux!$D$221</definedName>
    <definedName name="QualitéAlimentsJeuneDaim_18_24_mois">animaux!$D$223</definedName>
    <definedName name="QualitéAlimentsJeuneDaim_24_36_mois">animaux!$D$225</definedName>
    <definedName name="QualitéAlimentsJeuneDaine_12_18_mois">animaux!$D$222</definedName>
    <definedName name="QualitéAlimentsJeuneDaine_18_24_mois">animaux!$D$224</definedName>
    <definedName name="QualitéAlimentsJeuneDaine_24_36_mois">animaux!$D$226</definedName>
    <definedName name="QualitéAlimentsJeuneEtalon_12_24_moisPoney">animaux!$D$265</definedName>
    <definedName name="QualitéAlimentsJeuneEtalon_12_24_moisSelle">animaux!$D$237</definedName>
    <definedName name="QualitéAlimentsJeuneEtalon_12_24_moisTrait">animaux!$D$251</definedName>
    <definedName name="QualitéAlimentsJeuneEtalon_24_36_moisPoney">animaux!$D$267</definedName>
    <definedName name="QualitéAlimentsJeuneEtalon_24_36_moisSelle">animaux!$D$239</definedName>
    <definedName name="QualitéAlimentsJeuneEtalon_24_36_moisTrait">animaux!$D$253</definedName>
    <definedName name="QualitéAlimentsJeuneJars">animaux!$D$140</definedName>
    <definedName name="QualitéAlimentsJeuneJument_12_24_moisPoney">animaux!$D$266</definedName>
    <definedName name="QualitéAlimentsJeuneJument_12_24_moisSelle">animaux!$D$238</definedName>
    <definedName name="QualitéAlimentsJeuneJument_12_24_moisTrait">animaux!$D$252</definedName>
    <definedName name="QualitéAlimentsJeuneJument_24_36_moisPoney">animaux!$D$268</definedName>
    <definedName name="QualitéAlimentsJeuneJument_24_36_moisSelle">animaux!$D$240</definedName>
    <definedName name="QualitéAlimentsJeuneJument_24_36_moisTrait">animaux!$D$254</definedName>
    <definedName name="QualitéAlimentsJeuneLapin">animaux!$D$120</definedName>
    <definedName name="QualitéAlimentsJeuneLapine">animaux!$D$121</definedName>
    <definedName name="QualitéAlimentsJeuneOie">animaux!$D$141</definedName>
    <definedName name="QualitéAlimentsJeunePintadeFemelle">animaux!$D$102</definedName>
    <definedName name="QualitéAlimentsJeunePintadeMâle">animaux!$D$101</definedName>
    <definedName name="QualitéAlimentsJeunePoule">animaux!$D$83</definedName>
    <definedName name="QualitéAlimentsJeunesBisonnes_12_18_mois">animaux!$D$35</definedName>
    <definedName name="QualitéAlimentsJeunesBisonnes_18_24_mois">animaux!$D$37</definedName>
    <definedName name="QualitéAlimentsJeunesBisonnes_24_36_mois">animaux!$D$39</definedName>
    <definedName name="QualitéAlimentsJeunesBisons_12_18_mois">animaux!$D$34</definedName>
    <definedName name="QualitéAlimentsJeunesBisons_18_24_mois">animaux!$D$36</definedName>
    <definedName name="QualitéAlimentsJeunesBisons_24_36_mois">animaux!$D$38</definedName>
    <definedName name="QualitéAlimentsJeuneTruie_3_6_mois">animaux!$D$66</definedName>
    <definedName name="QualitéAlimentsJeuneTruie_6_12_mois">animaux!$D$68</definedName>
    <definedName name="QualitéAlimentsJeuneVerrat_3_6_mois">animaux!$D$65</definedName>
    <definedName name="QualitéAlimentsJeuneVerrat_6_12_mois">animaux!$D$67</definedName>
    <definedName name="QualitéAlimentsJumentPoney">animaux!$D$270</definedName>
    <definedName name="QualitéAlimentsJumentSelle">animaux!$D$242</definedName>
    <definedName name="QualitéAlimentsJumentTrait">animaux!$D$256</definedName>
    <definedName name="QualitéAlimentsLapereauFemelle_0_1_mois">animaux!$D$119</definedName>
    <definedName name="QualitéAlimentsLapereauMâle_0_1_mois">animaux!$D$118</definedName>
    <definedName name="QualitéAlimentsLapin">animaux!$D$122</definedName>
    <definedName name="QualitéAlimentsLapine">animaux!$D$123</definedName>
    <definedName name="QualitéAlimentsOie">animaux!$D$143</definedName>
    <definedName name="QualitéAlimentsOisonFemelle_0_3_mois">animaux!$D$139</definedName>
    <definedName name="QualitéAlimentsOisonMâle_0_3_mois">animaux!$D$138</definedName>
    <definedName name="QualitéAlimentsPintadeauFemelle_0_1_mois">animaux!$D$100</definedName>
    <definedName name="QualitéAlimentsPintadeauMâle_0_1_mois">animaux!$D$99</definedName>
    <definedName name="QualitéAlimentsPintadeFemelle">animaux!$D$104</definedName>
    <definedName name="QualitéAlimentsPintadeMâle">animaux!$D$103</definedName>
    <definedName name="QualitéAlimentsPorceletFemelle_0_1_mois">animaux!$D$62</definedName>
    <definedName name="QualitéAlimentsPorceletFemelle_1_3_mois">animaux!$D$64</definedName>
    <definedName name="QualitéAlimentsPorceletMâle_0_1_mois">animaux!$D$61</definedName>
    <definedName name="QualitéAlimentsPorceletMâle_1_3_mois">animaux!$D$63</definedName>
    <definedName name="QualitéAlimentsPoulainFemellePoney">animaux!$D$264</definedName>
    <definedName name="QualitéAlimentsPoulainFemelleTrait">animaux!$D$250</definedName>
    <definedName name="QualitéAlimentsPoulainMâlePoney">animaux!$D$263</definedName>
    <definedName name="QualitéAlimentsPoulainMâleTrait">animaux!$D$249</definedName>
    <definedName name="QualitéAlimentsPoulainSelleFemelle">animaux!$D$236</definedName>
    <definedName name="QualitéAlimentsPoulainSelleMâle">animaux!$D$235</definedName>
    <definedName name="QualitéAlimentsPoule">animaux!$D$85</definedName>
    <definedName name="QualitéAlimentsPoussinFemelle_0_1_mois">animaux!$D$81</definedName>
    <definedName name="QualitéAlimentsPoussinMâle_0_1_mois">animaux!$D$80</definedName>
    <definedName name="QualitéAlimentsTaureaux">animaux!$E$20</definedName>
    <definedName name="QualitéAlimentsTaurillons_12_18_mois">animaux!$E$14</definedName>
    <definedName name="QualitéAlimentsTaurillons_18_24_mois">animaux!$E$16</definedName>
    <definedName name="QualitéAlimentsTaurillons_24_36_mois">animaux!$E$18</definedName>
    <definedName name="QualitéAlimentsTruie">animaux!$D$70</definedName>
    <definedName name="QualitéAlimentsVaches">animaux!$E$21</definedName>
    <definedName name="QualitéAlimentsVeauxFemelles_0_3_mois">animaux!$E$9</definedName>
    <definedName name="QualitéAlimentsVeauxFemelles_3_6_mois">animaux!$E$11</definedName>
    <definedName name="QualitéAlimentsVeauxFemelles_6_12_mois">animaux!$E$13</definedName>
    <definedName name="QualitéAlimentsVeauxMâles_0_3_mois">animaux!$E$8</definedName>
    <definedName name="QualitéAlimentsVeauxMâles_3_6_mois">animaux!$E$10</definedName>
    <definedName name="QualitéAlimentsVeauxMâles_6_12_mois">animaux!$E$12</definedName>
    <definedName name="QualitéAlimentsVerrat">animaux!$D$69</definedName>
    <definedName name="QualitéRationComplèteBovins">animaux!$J$17</definedName>
    <definedName name="RationBisonNécessaireBQ">'coût alimentation'!$C$37</definedName>
    <definedName name="RationBisonNécessaireMaQ">'coût alimentation'!$E$37</definedName>
    <definedName name="RationBisonNécessaireMoQ">'coût alimentation'!$D$37</definedName>
    <definedName name="RationBisons">'coût alimentation'!$B$37</definedName>
    <definedName name="RationBovins">'coût alimentation'!$B$35</definedName>
    <definedName name="RationBovinsNécessaireBQ">'coût alimentation'!$C$35</definedName>
    <definedName name="RationBovinsNécessaireMaQ">'coût alimentation'!$E$35</definedName>
    <definedName name="RationBovinsNécessaireMoQ">'coût alimentation'!$D$35</definedName>
    <definedName name="RationCanards">'coût alimentation'!$B$44</definedName>
    <definedName name="RationCanardsNécessaireBQ">'coût alimentation'!$C$44</definedName>
    <definedName name="RationCanardsNécessaireMaQ">'coût alimentation'!$E$44</definedName>
    <definedName name="RationCanardsNécessaireMoQ">'coût alimentation'!$D$44</definedName>
    <definedName name="RationCaprins">'coût alimentation'!$B$38</definedName>
    <definedName name="RationCaprinsNécessaireBQ">'coût alimentation'!$C$38</definedName>
    <definedName name="RationCaprinsNécessaireMaQ">'coût alimentation'!$E$38</definedName>
    <definedName name="RationCaprinsNécessaireMoQ">'coût alimentation'!$D$38</definedName>
    <definedName name="RationChevauxSelle">'coût alimentation'!$B$48</definedName>
    <definedName name="RationChevauxSelleNécessaireBQ">'coût alimentation'!$C$48</definedName>
    <definedName name="RationChevauxSelleNécessaireMaQ">'coût alimentation'!$E$48</definedName>
    <definedName name="RationChevauxSelleNécessaireMoQ">'coût alimentation'!$D$48</definedName>
    <definedName name="RationChevauxTrait">'coût alimentation'!$B$49</definedName>
    <definedName name="RationChevauxTraitNécessaireBQ">'coût alimentation'!$C$49</definedName>
    <definedName name="RationChevauxTraitNécessaireMaQ">'coût alimentation'!$E$49</definedName>
    <definedName name="RationChevauxTraitNécessaireMoQ">'coût alimentation'!$D$49</definedName>
    <definedName name="RationDaims">'coût alimentation'!$B$47</definedName>
    <definedName name="RationDaimsNécessaireBQ">'coût alimentation'!$C$47</definedName>
    <definedName name="RationDaimsNécessaireMaQ">'coût alimentation'!$E$47</definedName>
    <definedName name="RationDaimsNécessaireMoQ">'coût alimentation'!$D$47</definedName>
    <definedName name="RationDansEcurieChevauxSelle">BDD!#REF!</definedName>
    <definedName name="RationDansEcurieChevauxTrait">BDD!#REF!</definedName>
    <definedName name="RationDansEcuriePoneys">BDD!#REF!</definedName>
    <definedName name="RationDansPréChevauxSelle">BDD!#REF!</definedName>
    <definedName name="RationDansPréChevauxTrait">BDD!#REF!</definedName>
    <definedName name="RationDansPréPoneys">BDD!#REF!</definedName>
    <definedName name="RationEtéChevauxSelle">animaux!$M$236</definedName>
    <definedName name="RationEtéChevauxTrait">animaux!$M$250</definedName>
    <definedName name="RationEtéPoneys">animaux!$M$264</definedName>
    <definedName name="RationHiverBovins">'coût alimentation'!$B$36</definedName>
    <definedName name="RationHiverBovinsNécessaireBQ">'coût alimentation'!$C$36</definedName>
    <definedName name="RationHiverBovinsNécessaireMaQ">'coût alimentation'!$E$36</definedName>
    <definedName name="RationHiverBovinsNécessaireMoQ">'coût alimentation'!$D$36</definedName>
    <definedName name="RationHivernaleAuPréChevauxSelle">animaux!$J$236</definedName>
    <definedName name="RationHivernaleAuPréChevauxTrait">animaux!$J$250</definedName>
    <definedName name="RationHivernaleAuPréPoneys">animaux!$J$264</definedName>
    <definedName name="RationHivernaleBovinsAuPré">animaux!$M$12</definedName>
    <definedName name="RationHivernaleOvinsAuPré">animaux!$M$203</definedName>
    <definedName name="RationHiverOvins">'coût alimentation'!$B$46</definedName>
    <definedName name="RationHiverOvinsNécessaireBQ">'coût alimentation'!$C$46</definedName>
    <definedName name="RationHiverOvinsNécessaireMaQ">'coût alimentation'!$E$46</definedName>
    <definedName name="RationHiverOvinsNécessaireMoQ">'coût alimentation'!$D$46</definedName>
    <definedName name="RationLapins">'coût alimentation'!$B$42</definedName>
    <definedName name="RationLapinsNécessaireBQ">'coût alimentation'!$C$42</definedName>
    <definedName name="RationLapinsNécessaireMaQ">'coût alimentation'!$E$42</definedName>
    <definedName name="RationLapinsNécessaireMoQ">'coût alimentation'!$D$42</definedName>
    <definedName name="RationOies">'coût alimentation'!$B$43</definedName>
    <definedName name="RationOiesNécessaireBQ">'coût alimentation'!$C$43</definedName>
    <definedName name="RationOiesNécessaireMaQ">'coût alimentation'!$E$43</definedName>
    <definedName name="RationOiesNécessaireMoQ">'coût alimentation'!$D$43</definedName>
    <definedName name="RationOvins">'coût alimentation'!$B$45</definedName>
    <definedName name="RationOvinsNécessaireBQ">'coût alimentation'!$C$45</definedName>
    <definedName name="RationOvinsNécessaireMaQ">'coût alimentation'!$E$45</definedName>
    <definedName name="RationOvinsNécessaireMoQ">'coût alimentation'!$D$45</definedName>
    <definedName name="RationPintades">'coût alimentation'!$B$41</definedName>
    <definedName name="RationPintadesNécessaireBQ">'coût alimentation'!$C$41</definedName>
    <definedName name="RationPintadesNécessaireMaQ">'coût alimentation'!$E$41</definedName>
    <definedName name="RationPintadesNécessaireMoQ">'coût alimentation'!$D$41</definedName>
    <definedName name="RationPoneys">'coût alimentation'!$B$50</definedName>
    <definedName name="RationPoneysNécessaireBQ">'coût alimentation'!$C$50</definedName>
    <definedName name="RationPoneysNécessaireMaQ">'coût alimentation'!$E$50</definedName>
    <definedName name="RationPoneysNécessaireMoQ">'coût alimentation'!$D$50</definedName>
    <definedName name="RationPorcins">'coût alimentation'!$B$39</definedName>
    <definedName name="RationPorcinsNécessaireBQ">'coût alimentation'!$C$39</definedName>
    <definedName name="RationPorcinsNécessaireMaQ">'coût alimentation'!$E$39</definedName>
    <definedName name="RationPorcinsNécessaireMoQ">'coût alimentation'!$D$39</definedName>
    <definedName name="RationVolailles">'coût alimentation'!$B$40</definedName>
    <definedName name="RationVolaillesNécessaireBQ">'coût alimentation'!$C$40</definedName>
    <definedName name="RationVolaillesNécessaireMaQ">'coût alimentation'!$E$40</definedName>
    <definedName name="RationVolaillesNécessaireMoQ">'coût alimentation'!$D$40</definedName>
    <definedName name="RésultatTotalEcuries">#REF!</definedName>
    <definedName name="RésultatTotalParcsVolailles">#REF!</definedName>
    <definedName name="RésultatTotalPoulaillers">#REF!</definedName>
    <definedName name="Seigle">'coût alimentation'!$B$28</definedName>
    <definedName name="SeigleNécessaireBQ">'coût alimentation'!$C$28</definedName>
    <definedName name="SeigleNécessaireMaQ">'coût alimentation'!$E$28</definedName>
    <definedName name="SeigleNécessaireMoQ">'coût alimentation'!$D$28</definedName>
    <definedName name="Soja">'coût alimentation'!$B$29</definedName>
    <definedName name="SojaNécessaireBQ">'coût alimentation'!$C$29</definedName>
    <definedName name="SojaNécessaireMaQ">'coût alimentation'!$E$29</definedName>
    <definedName name="SojaNécessaireMoQ">'coût alimentation'!$D$29</definedName>
    <definedName name="SorghoEnsilé">'coût alimentation'!$B$30</definedName>
    <definedName name="SorghoEnsiléNécessaireBQ">'coût alimentation'!$C$30</definedName>
    <definedName name="SorghoEnsiléNécessaireMaQ">'coût alimentation'!$E$30</definedName>
    <definedName name="SorghoEnsiléNécessaireMoQ">'coût alimentation'!$D$30</definedName>
    <definedName name="Spécificité1Bovins">animaux!$J$20</definedName>
    <definedName name="Spécificité1Canards">animaux!$J$163</definedName>
    <definedName name="Spécificité1Caprins">animaux!$J$54</definedName>
    <definedName name="Spécificité1ChevauxSelle">animaux!$I$234</definedName>
    <definedName name="Spécificité1ChevauxTrait">animaux!$I$250</definedName>
    <definedName name="Spécificité1Daims">animaux!$J$224</definedName>
    <definedName name="Spécificité1Lapins">animaux!$J$130</definedName>
    <definedName name="Spécificité1Oies">animaux!$J$147</definedName>
    <definedName name="Spécificité1Ovins">animaux!$J$208</definedName>
    <definedName name="Spécificité1Pintades">animaux!$J$111</definedName>
    <definedName name="Spécificité1Poneys">animaux!$I$264</definedName>
    <definedName name="Spécificité1Porcins">animaux!$J$73</definedName>
    <definedName name="Spécificité1Volailles">animaux!$J$92</definedName>
    <definedName name="Spécificité2Bovins">animaux!$J$21</definedName>
    <definedName name="Spécificité2Canards">animaux!$J$164</definedName>
    <definedName name="Spécificité2Caprins">animaux!$J$55</definedName>
    <definedName name="Spécificité2ChevauxSelle">animaux!$I$235</definedName>
    <definedName name="Spécificité2ChevauxTrait">animaux!$I$251</definedName>
    <definedName name="Spécificité2Daims">animaux!$J$225</definedName>
    <definedName name="Spécificité2Lapins">animaux!$J$131</definedName>
    <definedName name="Spécificité2Oies">animaux!$J$148</definedName>
    <definedName name="Spécificité2Ovins">animaux!$J$209</definedName>
    <definedName name="Spécificité2Pintades">animaux!$J$112</definedName>
    <definedName name="Spécificité2Poneys">animaux!$I$265</definedName>
    <definedName name="Spécificité2Porcins">animaux!$J$74</definedName>
    <definedName name="Spécificité2Volailles">animaux!$J$93</definedName>
    <definedName name="Stabu">#REF!</definedName>
    <definedName name="StockDansSilos">#REF!</definedName>
    <definedName name="StockFoinBQDansEntrepôt">BDD!#REF!</definedName>
    <definedName name="StockFoinDansEntrepôt">BDD!#REF!</definedName>
    <definedName name="StockFoinMaQDansEntrepôt">BDD!#REF!</definedName>
    <definedName name="StockFoinMoQDansEntrepôt">BDD!#REF!</definedName>
    <definedName name="StockMinérauxBQDansEntrepôt">BDD!#REF!</definedName>
    <definedName name="StockMinérauxMaQDansEntrepôt">BDD!#REF!</definedName>
    <definedName name="StockMinérauxMoQDansEntrepôt">BDD!#REF!</definedName>
    <definedName name="StockPailleBQDansEntrepôt">BDD!#REF!</definedName>
    <definedName name="StockPailleDansEntrepôt">BDD!#REF!</definedName>
    <definedName name="StockPailleMaQDansEntrepôt">BDD!#REF!</definedName>
    <definedName name="StockPailleMoQDansEntrepôt">BDD!#REF!</definedName>
    <definedName name="StocksDansEntrepots">#REF!</definedName>
    <definedName name="Suisse">BDD!$M$8</definedName>
    <definedName name="SurfaceAgneauBergerie">BDD!#REF!</definedName>
    <definedName name="SurfaceBalleFoin_500kg">BDD!$B$133</definedName>
    <definedName name="SurfaceBallePaille_500kg">BDD!$B$136</definedName>
    <definedName name="SurfaceBélierBergerie">BDD!#REF!</definedName>
    <definedName name="SurfaceBoucChèvrerie">BDD!$CC$25</definedName>
    <definedName name="SurfaceBrebisBergerie">BDD!#REF!</definedName>
    <definedName name="SurfaceCanardAdultePoulailler">BDD!#REF!</definedName>
    <definedName name="SurfaceCanardParc">BDD!#REF!</definedName>
    <definedName name="SurfaceCanetonPoulailler">BDD!#REF!</definedName>
    <definedName name="SurfaceChevauxSelleAdulteEcurie">BDD!#REF!</definedName>
    <definedName name="SurfaceChevauxTraitAdultesEcurie">BDD!#REF!</definedName>
    <definedName name="SurfaceChevreauChèvrerie">BDD!$CC$29</definedName>
    <definedName name="SurfaceChèvreChèvrerie">BDD!$CC$26</definedName>
    <definedName name="SurfaceExistanteBergeries">#REF!</definedName>
    <definedName name="SurfaceExistanteChèvreries">#REF!</definedName>
    <definedName name="SurfaceExistanteClapiers">#REF!</definedName>
    <definedName name="SurfaceExistanteEcuriesPoneys">#REF!</definedName>
    <definedName name="SurfaceExistanteEcuriesSelle">#REF!</definedName>
    <definedName name="SurfaceExistanteEcuriesTrait">#REF!</definedName>
    <definedName name="SurfaceExistanteParcsCanards">#REF!</definedName>
    <definedName name="SurfaceExistanteParcsLapins">#REF!</definedName>
    <definedName name="SurfaceExistanteParcsOies">#REF!</definedName>
    <definedName name="SurfaceExistanteParcsPintades">#REF!</definedName>
    <definedName name="SurfaceExistanteParcsPorcins">#REF!</definedName>
    <definedName name="SurfaceExistanteParcsVolailles">#REF!</definedName>
    <definedName name="SurfaceExistantePorcheries">#REF!</definedName>
    <definedName name="SurfaceExistantePoulaillersCanards">#REF!</definedName>
    <definedName name="SurfaceExistantePoulaillersOies">#REF!</definedName>
    <definedName name="SurfaceExistantePoulaillersPintades">#REF!</definedName>
    <definedName name="SurfaceExistantePoulaillersVolailles">#REF!</definedName>
    <definedName name="SurfaceExistanteStabu">#REF!</definedName>
    <definedName name="SurfaceJeuneBovinStabu">BDD!$BD$40</definedName>
    <definedName name="SurfaceJeuneCanardPoulailler">BDD!#REF!</definedName>
    <definedName name="SurfaceJeuneCaprinChèvrerie">BDD!$CC$28</definedName>
    <definedName name="SurfaceJeuneChevalSelleEcurie">BDD!#REF!</definedName>
    <definedName name="SurfaceJeuneChevauxTraitEcurie">BDD!#REF!</definedName>
    <definedName name="SurfaceJeuneLapinClapier">BDD!#REF!</definedName>
    <definedName name="SurfaceJeuneLapinParc">BDD!#REF!</definedName>
    <definedName name="SurfaceJeuneOiePoulailler">BDD!#REF!</definedName>
    <definedName name="SurfaceJeuneOvinBergerie">BDD!#REF!</definedName>
    <definedName name="SurfaceJeunePintadePoulailler">BDD!#REF!</definedName>
    <definedName name="SurfaceJeunePoneysEcurie">BDD!#REF!</definedName>
    <definedName name="SurfaceJeunePorcinPorcherie">BDD!#REF!</definedName>
    <definedName name="SurfaceJeuneVolaillePoulailler">BDD!#REF!</definedName>
    <definedName name="SurfaceJumentSelleEcurie">BDD!#REF!</definedName>
    <definedName name="SurfaceLapereauClapier">BDD!#REF!</definedName>
    <definedName name="SurfaceLapereauParc">BDD!#REF!</definedName>
    <definedName name="SurfaceLapinAdulteClapier">BDD!#REF!</definedName>
    <definedName name="SurfaceLapinAdulteParc">BDD!#REF!</definedName>
    <definedName name="SurfaceNécessaireBergerie">#REF!</definedName>
    <definedName name="SurfaceNécessaireChèvrerie">#REF!</definedName>
    <definedName name="SurfaceNécessaireClapiers">#REF!</definedName>
    <definedName name="SurfaceNécessaireConcentréBovins">BDD!$B$180</definedName>
    <definedName name="SurfaceNécessaireConcentréLapins">BDD!$B$182</definedName>
    <definedName name="SurfaceNécessaireConcentréPorcins">BDD!$B$181</definedName>
    <definedName name="SurfaceNécessaireEcuriesPoneys">#REF!</definedName>
    <definedName name="SurfaceNécessaireEcuriesSelle">#REF!</definedName>
    <definedName name="SurfaceNécessaireEcuriesTrait">#REF!</definedName>
    <definedName name="SurfaceNécessaireMinéraux">BDD!$B$183</definedName>
    <definedName name="SurfaceNécessaireParcsCanards">#REF!</definedName>
    <definedName name="SurfaceNécessaireParcsLapins">#REF!</definedName>
    <definedName name="SurfaceNécessaireParcsOies">#REF!</definedName>
    <definedName name="SurfaceNécessaireParcsPintades">#REF!</definedName>
    <definedName name="SurfaceNécessaireParcsPorcins">#REF!</definedName>
    <definedName name="SurfaceNécessaireParcsVolailles">#REF!</definedName>
    <definedName name="SurfaceNécessairePorcherie">#REF!</definedName>
    <definedName name="SurfaceNécessairePoulaillersCanards">#REF!</definedName>
    <definedName name="SurfaceNécessairePoulaillersOies">#REF!</definedName>
    <definedName name="SurfaceNécessairePoulaillersPintades">#REF!</definedName>
    <definedName name="SurfaceNécessairePoulaillersVolailles">#REF!</definedName>
    <definedName name="SurfaceNécessaireStabu">#REF!</definedName>
    <definedName name="SurfaceOieAdultePoulailler">BDD!#REF!</definedName>
    <definedName name="SurfaceOieParc">BDD!#REF!</definedName>
    <definedName name="SurfaceOisonPoulailler">BDD!#REF!</definedName>
    <definedName name="SurfacePintadeAdultePoulailler">BDD!#REF!</definedName>
    <definedName name="SurfacePintadeauPoulailler">BDD!#REF!</definedName>
    <definedName name="SurfacePintadeParc">BDD!#REF!</definedName>
    <definedName name="SurfacePoneysAdultesEcuries">BDD!#REF!</definedName>
    <definedName name="SurfacePorceletPorcherie">BDD!#REF!</definedName>
    <definedName name="SurfacePorcinsAbrisEtParcs">BDD!#REF!</definedName>
    <definedName name="SurfacePoulainPoneysEcuries">BDD!#REF!</definedName>
    <definedName name="SurfacePoulainSelleEcurie">BDD!#REF!</definedName>
    <definedName name="SurfacePoulainTraitEcurie">BDD!#REF!</definedName>
    <definedName name="SurfacePoussinPoulailler">BDD!#REF!</definedName>
    <definedName name="SurfaceTaureauStabu">BDD!$BD$37</definedName>
    <definedName name="SurfaceTotaleEcuries">#REF!</definedName>
    <definedName name="SurfaceTotaleParcsVolailles">#REF!</definedName>
    <definedName name="SurfaceTotalePoulaillers">#REF!</definedName>
    <definedName name="SurfaceTruiePorcherie">BDD!#REF!</definedName>
    <definedName name="SurfaceUtiliséeParFoinDansEntrepôt">BDD!#REF!</definedName>
    <definedName name="SurfaceUtiliséeParPailleDansEntrepôt">BDD!#REF!</definedName>
    <definedName name="SurfaceVacheStabu">BDD!$BD$38</definedName>
    <definedName name="SurfaceVeauxStabu">BDD!$BD$41</definedName>
    <definedName name="SurfaceVerratPorcherie">BDD!#REF!</definedName>
    <definedName name="SurfaceVolailleAdultePoulaille">BDD!#REF!</definedName>
    <definedName name="SurfaceVolailleParc">BDD!#REF!</definedName>
    <definedName name="TarifsCoopCultures">BDD!#REF!</definedName>
    <definedName name="TêteListe">BDD!#REF!</definedName>
    <definedName name="Total_PintadeMâle">animaux!$C$103</definedName>
    <definedName name="Total_poussin_mâle_0_1_mois">animaux!$C$80</definedName>
    <definedName name="TotalAgneau_0_3_mois">animaux!$C$199</definedName>
    <definedName name="TotalAgneau_3_6_mois">animaux!$C$201</definedName>
    <definedName name="TotalAgneaux">animaux!$C$199:$C$202</definedName>
    <definedName name="TotalAgneauxRacesLaitières">animaux!$D$199:$D$202</definedName>
    <definedName name="TotalAgnelle_0_3_mois">animaux!$C$200</definedName>
    <definedName name="TotalAgnelle_3_6_mois">animaux!$C$202</definedName>
    <definedName name="TotalBéliers">animaux!$C$205</definedName>
    <definedName name="TotalBéliersRacesLaitières">animaux!$D$205</definedName>
    <definedName name="TotalBisonneaux">animaux!$C$28:$C$33</definedName>
    <definedName name="TotalBisonnes">animaux!$C$41</definedName>
    <definedName name="TotalBisons">animaux!$C$28:$C$41</definedName>
    <definedName name="TotalBisons0_3">animaux!$C$28:$C$29</definedName>
    <definedName name="TotalBisons12_18">animaux!$C$34:$C$35</definedName>
    <definedName name="TotalBisons18_24">animaux!$C$36:$C$37</definedName>
    <definedName name="TotalBisons24_36">animaux!$C$38:$C$39</definedName>
    <definedName name="TotalBisons3_6">animaux!$C$30:$C$31</definedName>
    <definedName name="TotalBisons6_12">animaux!$C$32:$C$33</definedName>
    <definedName name="TotalBisonsAdultes">animaux!$C$40:$C$41</definedName>
    <definedName name="TotalBisonsFemelles_0_3_mois">animaux!$C$29</definedName>
    <definedName name="TotalBisonsFemelles_12_18_mois">animaux!$C$35</definedName>
    <definedName name="TotalBisonsFemelles_18_24_mois">animaux!$C$37</definedName>
    <definedName name="TotalBisonsFemelles_24_36_mois">animaux!$C$39</definedName>
    <definedName name="TotalBisonsFemelles_3_6_mois">animaux!$C$31</definedName>
    <definedName name="TotalBisonsFemelles_6_12_mois">animaux!$C$33</definedName>
    <definedName name="TotalBisonsMales_0_3_mois">animaux!$C$28</definedName>
    <definedName name="TotalBisonsMales_12_18_mois">animaux!$C$34</definedName>
    <definedName name="TotalBisonsMales_18_24_mois">animaux!$C$36</definedName>
    <definedName name="TotalBisonsMales_24_36_mois">animaux!$C$38</definedName>
    <definedName name="TotalBisonsMales_3_6_mois">animaux!$C$30</definedName>
    <definedName name="TotalBisonsMales_6_12_mois">animaux!$C$32</definedName>
    <definedName name="TotalBisonsMalesAdultes">animaux!$C$40</definedName>
    <definedName name="TotalBoucs">animaux!$C$51</definedName>
    <definedName name="TotalBovins">animaux!$C$8:$C$21</definedName>
    <definedName name="TotalBovins_0_3mois">animaux!$C$8:$C$9</definedName>
    <definedName name="TotalBovins_0_3moisAuPré">animaux!$F$8:$F$9</definedName>
    <definedName name="TotalBovins_0_3moisRacesLaitières">animaux!$D$8:$D$9</definedName>
    <definedName name="TotalBovins_12_18mois">animaux!$C$14:$C$15</definedName>
    <definedName name="TotalBovins_12_18moisAuPré">animaux!$F$14:$F$15</definedName>
    <definedName name="TotalBovins_12_18moisRacesLaitières">animaux!$D$14:$D$15</definedName>
    <definedName name="TotalBovins_18_24mois">animaux!$C$16:$C$17</definedName>
    <definedName name="TotalBovins_18_24moisAuPré">animaux!$F$16:$F$17</definedName>
    <definedName name="TotalBovins_18_24moisRacesLaitières">animaux!$D$16:$D$17</definedName>
    <definedName name="TotalBovins_24_36mois">animaux!$C$18:$C$19</definedName>
    <definedName name="TotalBovins_24_36moisAuPré">animaux!$F$18:$F$19</definedName>
    <definedName name="TotalBovins_24_36moisRacesLaitières">animaux!$D$18:$D$19</definedName>
    <definedName name="TotalBovins_3_6mois">animaux!$C$10:$C$11</definedName>
    <definedName name="TotalBovins_3_6moisAuPré">animaux!$F$10:$F$11</definedName>
    <definedName name="TotalBovins_3_6moisRacesLaitières">animaux!$D$10:$D$11</definedName>
    <definedName name="TotalBovins_6_12mois">animaux!$C$12:$C$13</definedName>
    <definedName name="TotalBovins_6_12moisAuPré">animaux!$F$12:$F$13</definedName>
    <definedName name="TotalBovins_6_12moisRacesLaitières">animaux!$D$12:$D$13</definedName>
    <definedName name="TotalBovinsAdultes">animaux!$C$20:$C$21</definedName>
    <definedName name="TotalBovinsAdultesAuPré">animaux!$F$20:$F$21</definedName>
    <definedName name="TotalBovinsAdultesRacesLaitières">animaux!$D$20:$D$21</definedName>
    <definedName name="TotalBovinsFemelles_0_3mois">animaux!$C$9</definedName>
    <definedName name="TotalBovinsFemelles_12_18mois">animaux!$C$15</definedName>
    <definedName name="TotalBovinsFemelles_18_24mois">animaux!$C$17</definedName>
    <definedName name="TotalBovinsFemelles_24_36mois">animaux!$C$19</definedName>
    <definedName name="TotalBovinsFemelles_3_6mois">animaux!$C$11</definedName>
    <definedName name="TotalBovinsFemelles_6_12mois">animaux!$C$13</definedName>
    <definedName name="TotalBovinsLaitièresEtAlalaitantes">animaux!$D$8:$F$21</definedName>
    <definedName name="TotalBovinsMâles_0_3mois">animaux!$C$8</definedName>
    <definedName name="TotalBovinsMâles_12_18mois">animaux!$C$14</definedName>
    <definedName name="TotalBovinsMâles_18_24mois">animaux!$C$16</definedName>
    <definedName name="TotalBovinsMâles_24_36mois">animaux!$C$18</definedName>
    <definedName name="TotalBovinsMâles_3_6mois">animaux!$C$10</definedName>
    <definedName name="TotalBovinsMâles_6_12mois">animaux!$C$12</definedName>
    <definedName name="TotalBovinsRacesLaitières">animaux!$D$8:$D$21</definedName>
    <definedName name="TotalBrebis">animaux!$C$206</definedName>
    <definedName name="TotalBrebisRacesLaitières">animaux!$D$206</definedName>
    <definedName name="TotalCanards">animaux!$C$154:$C$159</definedName>
    <definedName name="TotalCanardsAdultes">animaux!$C$158:$C$159</definedName>
    <definedName name="TotalCanardsMalesAdultes">animaux!$C$158</definedName>
    <definedName name="TotalCanes">animaux!$C$159</definedName>
    <definedName name="TotalCanetons">animaux!$C$154:$C$155</definedName>
    <definedName name="TotalCaprins">animaux!$C$45:$C$52</definedName>
    <definedName name="TotalCaprins_0_3mois">animaux!$C$45:$C$46</definedName>
    <definedName name="TotalCaprins_3_6mois">animaux!$C$47:$C$48</definedName>
    <definedName name="TotalCaprinsAdultes">animaux!$C$51:$C$52</definedName>
    <definedName name="TotalChevauxSelle">animaux!$C$235:$C$242</definedName>
    <definedName name="TotalChevauxSelle_12_24mois">animaux!$C$237:$C$238</definedName>
    <definedName name="TotalChevauxSelle_24_36mois">animaux!$C$239:$C$240</definedName>
    <definedName name="TotalChevauxSelleAdultes">animaux!$C$241:$C$242</definedName>
    <definedName name="TotalChevauxTrait">animaux!$C$249:$C$256</definedName>
    <definedName name="TotalChevauxTrait_12_24mois">animaux!$C$251:$C$252</definedName>
    <definedName name="TotalChevauxTrait_24_36mois">animaux!$C$253:$C$254</definedName>
    <definedName name="TotalChevauxTraitAdultes">animaux!$C$255:$C$256</definedName>
    <definedName name="TotalChevreaux">animaux!$C$45:$C$48</definedName>
    <definedName name="TotalChèvres">animaux!$C$52</definedName>
    <definedName name="TotalCoqs">animaux!$C$84</definedName>
    <definedName name="TotalDaim">animaux!$C$227</definedName>
    <definedName name="TotalDaims">animaux!$C$215:$C$228</definedName>
    <definedName name="TotalDaims0_3">animaux!$C$215:$C$216</definedName>
    <definedName name="TotalDaims12_18">animaux!$C$221:$C$222</definedName>
    <definedName name="TotalDaims18_24">animaux!$C$223:$C$224</definedName>
    <definedName name="TotalDaims24_36">animaux!$C$225:$C$226</definedName>
    <definedName name="TotalDaims3_6">animaux!$C$217:$C$218</definedName>
    <definedName name="TotalDaims6_12">animaux!$C$219:$C$220</definedName>
    <definedName name="TotalDaimsAdultes">animaux!$C$227:$C$228</definedName>
    <definedName name="TotalDaine">animaux!$C$228</definedName>
    <definedName name="TotalEtalonPoney">animaux!$C$269</definedName>
    <definedName name="TotalEtalonSelle">animaux!$C$241</definedName>
    <definedName name="TotalEtalonTrait">animaux!$C$255</definedName>
    <definedName name="TotalFaons">animaux!$C$215:$C$220</definedName>
    <definedName name="TotalGénisse_12_18_RacesLaitières">animaux!$D$15</definedName>
    <definedName name="TotalGénisse_18_24_RacesLaitières">animaux!$D$17</definedName>
    <definedName name="TotalGénisse_24_36_RacesLaitières">animaux!$D$19</definedName>
    <definedName name="TotalJars">animaux!$C$142</definedName>
    <definedName name="TotalJeune_bélier_6_12_mois">animaux!$C$203</definedName>
    <definedName name="TotalJeune_brebis_6_12_mois">animaux!$C$204</definedName>
    <definedName name="TotalJeuneBovin">animaux!$C$14:$C$19</definedName>
    <definedName name="TotalJeuneEtalonPoney_12_24_mois">animaux!$C$265</definedName>
    <definedName name="TotalJeuneEtalonPoney_24_36_mois">animaux!$C$267</definedName>
    <definedName name="TotalJeuneEtalonSelle_12_24_mois">animaux!$C$237</definedName>
    <definedName name="TotalJeuneEtalonSelle_24_36_mois">animaux!$C$239</definedName>
    <definedName name="TotalJeuneEtalonTrait_12_24_mois">animaux!$C$251</definedName>
    <definedName name="TotalJeuneEtalonTrait_24_36_mois">animaux!$C$253</definedName>
    <definedName name="TotalJeuneJumentPoney_12_24_mois">animaux!$C$266</definedName>
    <definedName name="TotalJeuneJumentPoney_24_36_mois">animaux!$C$268</definedName>
    <definedName name="TotalJeuneJumentSelle_12_24_mois">animaux!$C$238</definedName>
    <definedName name="TotalJeuneJumentSelle_24_36_mois">animaux!$C$240</definedName>
    <definedName name="TotalJeuneJumentTrait_12_24_mois">animaux!$C$252</definedName>
    <definedName name="TotalJeuneJumentTrait_24_36_mois">animaux!$C$254</definedName>
    <definedName name="TotalJeuneLapin_1_3_mois">animaux!$C$120</definedName>
    <definedName name="TotalJeuneLapine_1_3_mois">animaux!$C$121</definedName>
    <definedName name="TotalJeunesBisons">animaux!$C$34:$C$39</definedName>
    <definedName name="TotalJeunesBovinsAllaitants">animaux!$F$14:$F$19</definedName>
    <definedName name="TotalJeunesBovinsRacesLaitières">animaux!$D$14:$D$19</definedName>
    <definedName name="TotalJeunesCanards">animaux!$C$156:$C$157</definedName>
    <definedName name="TotalJeunesCanards_3moisEtPlus">animaux!$G$187</definedName>
    <definedName name="TotalJeunesCaprins">animaux!$C$49:$C$50</definedName>
    <definedName name="TotalJeunesChevauxSelle">animaux!$C$237:$C$240</definedName>
    <definedName name="TotalJeunesChevauxTrait">animaux!$C$251:$C$254</definedName>
    <definedName name="TotalJeunesDaims">animaux!$C$221:$C$226</definedName>
    <definedName name="TotalJeunesLapins">animaux!$C$120:$C$121</definedName>
    <definedName name="TotalJeunesOies">animaux!$C$140:$C$141</definedName>
    <definedName name="TotalJeunesOvins">animaux!$C$203:$C$204</definedName>
    <definedName name="TotalJeunesOvinsRacesLaitières">animaux!$D$203:$D$204</definedName>
    <definedName name="TotalJeunesPintades">animaux!$C$101:$C$102</definedName>
    <definedName name="TotalJeunesPoneys">animaux!$C$265:$C$268</definedName>
    <definedName name="TotalJeunesPorcins">animaux!$C$65:$C$68</definedName>
    <definedName name="TotalJeuneVolaille">animaux!$C$82:$C$83</definedName>
    <definedName name="TotalJumentPoney">animaux!$C$270</definedName>
    <definedName name="TotalJumentSelle">animaux!$C$242</definedName>
    <definedName name="TotalJumentTrait">animaux!$C$256</definedName>
    <definedName name="TotalLapereauFemelle_0_1_mois">animaux!$C$119</definedName>
    <definedName name="TotalLapereauMale_0_1_mois">animaux!$C$118</definedName>
    <definedName name="TotalLapereaux">animaux!$C$118:$C$119</definedName>
    <definedName name="TotalLapines">animaux!$C$123</definedName>
    <definedName name="TotalLapins">animaux!$C$122</definedName>
    <definedName name="TotalLapinsAdultes">animaux!$C$122:$C$123</definedName>
    <definedName name="TotalOies">animaux!$C$138:$C$143</definedName>
    <definedName name="TotalOiesAdultes">animaux!$C$142:$C$143</definedName>
    <definedName name="TotalOiesFemellesAdultes">animaux!$C$143</definedName>
    <definedName name="TotalOisons">animaux!$C$138:$C$139</definedName>
    <definedName name="TotalOvins">animaux!$C$199:$C$206</definedName>
    <definedName name="TotalOvins_0_3mois">animaux!$C$199:$C$200</definedName>
    <definedName name="TotalOvins_0_3moisAuPré">animaux!$F$199:$F$200</definedName>
    <definedName name="TotalOvins_0_3moisRacesLaitières">animaux!$D$199:$D$200</definedName>
    <definedName name="TotalOvins_3_6mois">animaux!$C$201:$C$202</definedName>
    <definedName name="TotalOvins_3_6moisAuPré">animaux!$F$201:$F$202</definedName>
    <definedName name="TotalOvins_3_6moisRacesLaitières">animaux!$D$201:$D$202</definedName>
    <definedName name="TotalOvins_6_12moisAuPré">animaux!$F$203:$F$204</definedName>
    <definedName name="TotalOvinsAdultes">animaux!$C$205:$C$206</definedName>
    <definedName name="TotalOvinsAdultesAuPré">animaux!$F$205:$F$206</definedName>
    <definedName name="TotalOvinsAdultesRacesLaitières">animaux!$D$205:$D$206</definedName>
    <definedName name="TotalOvinsRacesLaitières">animaux!$D$199:$D$206</definedName>
    <definedName name="TotalPintadeaux">animaux!$C$99:$C$100</definedName>
    <definedName name="TotalPintadeFemelle">animaux!$C$104</definedName>
    <definedName name="TotalPintades">animaux!$C$99:$C$104</definedName>
    <definedName name="TotalPintadesAdultes">animaux!$C$103:$C$104</definedName>
    <definedName name="TotalPoneys">animaux!$C$263:$C$270</definedName>
    <definedName name="TotalPoneys_12_24mois">animaux!$C$265:$C$266</definedName>
    <definedName name="TotalPoneys_24_36mois">animaux!$C$267:$C$268</definedName>
    <definedName name="TotalPoneysAdultes">animaux!$C$269:$C$270</definedName>
    <definedName name="TotalPorcelets">animaux!$C$61:$C$64</definedName>
    <definedName name="TotalPorcins">animaux!$C$61:$C$70</definedName>
    <definedName name="TotalPorcins_0_1Mois">animaux!$C$61:$C$62</definedName>
    <definedName name="TotalPorcins_1_3Mois">animaux!$C$63:$C$64</definedName>
    <definedName name="TotalPorcins_3_6Mois">animaux!$C$65:$C$66</definedName>
    <definedName name="TotalPorcins_6_12Mois">animaux!$C$67:$C$68</definedName>
    <definedName name="TotalPorcinsAdultes">animaux!$C$69:$C$70</definedName>
    <definedName name="TotalPoulainPoney_0_12_mois">animaux!$C$263</definedName>
    <definedName name="TotalPoulainSelle_0_12_mois">animaux!$C$235</definedName>
    <definedName name="TotalPoulainsPoneys">animaux!$C$263:$C$264</definedName>
    <definedName name="TotalPoulainsSelle">animaux!$C$235:$C$236</definedName>
    <definedName name="TotalPoulainsTrait">animaux!$C$249:$C$250</definedName>
    <definedName name="TotalPoulainTrait_0_12_mois">animaux!$C$249</definedName>
    <definedName name="TotalPoules">animaux!$C$85</definedName>
    <definedName name="TotalPoulichePoney_0_12_mois">animaux!$C$264</definedName>
    <definedName name="TotalPoulicheSelle_0_12_mois">animaux!$C$236</definedName>
    <definedName name="TotalPoulicheTrait_0_12_mois">animaux!$C$250</definedName>
    <definedName name="TotalPoussins">animaux!$C$80:$C$81</definedName>
    <definedName name="TotalTaureaux">animaux!$C$20</definedName>
    <definedName name="TotalTaureauxAllaitants">animaux!$F$20</definedName>
    <definedName name="TotalTaureauxRacesLaitières">animaux!$D$20</definedName>
    <definedName name="TotalTaurillon_12_18_RacesLaitières">animaux!$C$14</definedName>
    <definedName name="TotalTaurillon_18_24_RacesLaitières">animaux!$D$16</definedName>
    <definedName name="TotalTaurillon_24_36_RacesLaitières">animaux!$D$18</definedName>
    <definedName name="TotalTruies">animaux!$C$70</definedName>
    <definedName name="TotalVaches">animaux!$C$21</definedName>
    <definedName name="TotalVachesAllaitant">animaux!$F$21</definedName>
    <definedName name="TotalVachesRacesLaitières">animaux!$D$21</definedName>
    <definedName name="TotalVeauFemelle_0_3_RacesLaitières">animaux!$D$9</definedName>
    <definedName name="TotalVeauFemelle_3_6_RacesLaitières">animaux!$D$11</definedName>
    <definedName name="TotalVeauFemelle_6_12_RacesLaitières">animaux!$D$13</definedName>
    <definedName name="TotalVeauMâle_0_3_RacesLaitières">animaux!$D$8</definedName>
    <definedName name="TotalVeauMâle_3_6_RacesLaitières">animaux!$D$10</definedName>
    <definedName name="TotalVeauMâle_6_12_RacesLaitières">animaux!$D$12</definedName>
    <definedName name="TotalVeaux">animaux!$C$8:$C$13</definedName>
    <definedName name="TotalVeauxAllaitants">animaux!$F$8:$F$13</definedName>
    <definedName name="TotalVeauxRacesLaitières">animaux!$D$8:$D$13</definedName>
    <definedName name="TotalVerrats">animaux!$C$69</definedName>
    <definedName name="TotalVolailleAdulte">animaux!$C$84:$C$85</definedName>
    <definedName name="TotalVolailles">animaux!$C$80:$C$85</definedName>
    <definedName name="Tournesol">'coût alimentation'!$B$31</definedName>
    <definedName name="Tournesol_BDD">BDD!$AA$3</definedName>
    <definedName name="TournesolNécessaireBQ">'coût alimentation'!$C$31</definedName>
    <definedName name="TournesolNécessaireMaQ">'coût alimentation'!$E$31</definedName>
    <definedName name="TournesolNécessaireMoQ">'coût alimentation'!$D$31</definedName>
    <definedName name="TourteauColza">'coût alimentation'!$B$32</definedName>
    <definedName name="TourteauColzaNécessaireBQ">'coût alimentation'!$C$32</definedName>
    <definedName name="TourteauColzaNécessaireMaQ">'coût alimentation'!$E$32</definedName>
    <definedName name="TourteauColzaNécessaireMoQ">'coût alimentation'!$D$32</definedName>
    <definedName name="TourteauTournesol">'coût alimentation'!$B$33</definedName>
    <definedName name="TourteauTournesolNécessaireBQ">'coût alimentation'!$C$33</definedName>
    <definedName name="TourteauTournesolNécessaireMaQ">'coût alimentation'!$E$33</definedName>
    <definedName name="TourteauTournesolNécessaireMoQ">'coût alimentation'!$D$33</definedName>
    <definedName name="Triticale">'coût alimentation'!$B$34</definedName>
    <definedName name="Triticale_BDD">BDD!$U$3</definedName>
    <definedName name="TriticaleNécessaireBQ">'coût alimentation'!$C$34</definedName>
    <definedName name="TriticaleNécessaireMaQ">'coût alimentation'!$E$34</definedName>
    <definedName name="TriticaleNécessaireMoQ">'coût alimentation'!$D$34</definedName>
    <definedName name="TypeArticleDansEntrepôt">#REF!</definedName>
    <definedName name="USA">BDD!$M$10</definedName>
    <definedName name="Z_EE76D120_5D4A_4AD8_A1CB_952C682DC0B3_.wvu.FilterData" localSheetId="0" hidden="1">animaux!$Z$2:$Z$4</definedName>
  </definedNames>
  <calcPr calcId="145621"/>
  <customWorkbookViews>
    <customWorkbookView name="SEGULA - Affichage personnalisé" guid="{EE76D120-5D4A-4AD8-A1CB-952C682DC0B3}" mergeInterval="0" personalView="1" maximized="1" windowWidth="1020" windowHeight="552" tabRatio="761" activeSheetId="21"/>
  </customWorkbookViews>
</workbook>
</file>

<file path=xl/calcChain.xml><?xml version="1.0" encoding="utf-8"?>
<calcChain xmlns="http://schemas.openxmlformats.org/spreadsheetml/2006/main">
  <c r="BX197" i="27" l="1"/>
  <c r="BX198" i="27"/>
  <c r="BX199" i="27"/>
  <c r="BX200" i="27"/>
  <c r="BX201" i="27"/>
  <c r="BX202" i="27"/>
  <c r="BX203" i="27"/>
  <c r="BX204" i="27"/>
  <c r="BX205" i="27"/>
  <c r="BX206" i="27"/>
  <c r="BX207" i="27"/>
  <c r="BX208" i="27"/>
  <c r="BX209" i="27"/>
  <c r="BX210" i="27"/>
  <c r="BX211" i="27"/>
  <c r="BX212" i="27"/>
  <c r="BX213" i="27"/>
  <c r="BX214" i="27"/>
  <c r="BX215" i="27"/>
  <c r="BX216" i="27"/>
  <c r="BX217" i="27"/>
  <c r="BX218" i="27"/>
  <c r="BX219" i="27"/>
  <c r="BX220" i="27"/>
  <c r="BX221" i="27"/>
  <c r="BX222" i="27"/>
  <c r="BX223" i="27"/>
  <c r="BX224" i="27"/>
  <c r="BX225" i="27"/>
  <c r="BX226" i="27"/>
  <c r="BX227" i="27"/>
  <c r="BX228" i="27"/>
  <c r="BX229" i="27"/>
  <c r="BX230" i="27"/>
  <c r="BX231" i="27"/>
  <c r="BX196" i="27"/>
  <c r="BX145" i="27"/>
  <c r="BX146" i="27"/>
  <c r="BX147" i="27"/>
  <c r="BX148" i="27"/>
  <c r="BX149" i="27"/>
  <c r="BX150" i="27"/>
  <c r="BX151" i="27"/>
  <c r="BX152" i="27"/>
  <c r="BX153" i="27"/>
  <c r="BX154" i="27"/>
  <c r="BX155" i="27"/>
  <c r="BX156" i="27"/>
  <c r="BX157" i="27"/>
  <c r="BX158" i="27"/>
  <c r="BX159" i="27"/>
  <c r="BX160" i="27"/>
  <c r="BX161" i="27"/>
  <c r="BX162" i="27"/>
  <c r="BX163" i="27"/>
  <c r="BX164" i="27"/>
  <c r="BX165" i="27"/>
  <c r="BX166" i="27"/>
  <c r="BX167" i="27"/>
  <c r="BX168" i="27"/>
  <c r="BX169" i="27"/>
  <c r="BX170" i="27"/>
  <c r="BX171" i="27"/>
  <c r="BX172" i="27"/>
  <c r="BX173" i="27"/>
  <c r="BX174" i="27"/>
  <c r="BX175" i="27"/>
  <c r="BX176" i="27"/>
  <c r="BX177" i="27"/>
  <c r="BX178" i="27"/>
  <c r="BX144" i="27"/>
  <c r="BM115" i="27"/>
  <c r="BM116" i="27"/>
  <c r="BM117" i="27"/>
  <c r="BM118" i="27"/>
  <c r="BM119" i="27"/>
  <c r="BM120" i="27"/>
  <c r="BM121" i="27"/>
  <c r="BM122" i="27"/>
  <c r="BM123" i="27"/>
  <c r="BM124" i="27"/>
  <c r="BM125" i="27"/>
  <c r="BM126" i="27"/>
  <c r="BM127" i="27"/>
  <c r="BM128" i="27"/>
  <c r="BM129" i="27"/>
  <c r="BM130" i="27"/>
  <c r="BM131" i="27"/>
  <c r="BM132" i="27"/>
  <c r="BM133" i="27"/>
  <c r="BM134" i="27"/>
  <c r="BM135" i="27"/>
  <c r="BM136" i="27"/>
  <c r="BM137" i="27"/>
  <c r="BM138" i="27"/>
  <c r="BM139" i="27"/>
  <c r="BM140" i="27"/>
  <c r="BM141" i="27"/>
  <c r="BM142" i="27"/>
  <c r="BM143" i="27"/>
  <c r="BM144" i="27"/>
  <c r="BM145" i="27"/>
  <c r="BM146" i="27"/>
  <c r="BM147" i="27"/>
  <c r="BM148" i="27"/>
  <c r="BM114" i="27"/>
  <c r="BM74" i="27"/>
  <c r="BM75" i="27"/>
  <c r="BM76" i="27"/>
  <c r="BM77" i="27"/>
  <c r="BM78" i="27"/>
  <c r="BM79" i="27"/>
  <c r="BM80" i="27"/>
  <c r="BM81" i="27"/>
  <c r="BM82" i="27"/>
  <c r="BM83" i="27"/>
  <c r="BM84" i="27"/>
  <c r="BM85" i="27"/>
  <c r="BM86" i="27"/>
  <c r="BM87" i="27"/>
  <c r="BM88" i="27"/>
  <c r="BM89" i="27"/>
  <c r="BM90" i="27"/>
  <c r="BM91" i="27"/>
  <c r="BM92" i="27"/>
  <c r="BM93" i="27"/>
  <c r="BM94" i="27"/>
  <c r="BM95" i="27"/>
  <c r="BM96" i="27"/>
  <c r="BM97" i="27"/>
  <c r="BM98" i="27"/>
  <c r="BM99" i="27"/>
  <c r="BM100" i="27"/>
  <c r="BM101" i="27"/>
  <c r="BM102" i="27"/>
  <c r="BM103" i="27"/>
  <c r="BM104" i="27"/>
  <c r="BM105" i="27"/>
  <c r="BM106" i="27"/>
  <c r="BM73" i="27"/>
  <c r="BB380" i="27"/>
  <c r="BB343" i="27"/>
  <c r="BB344" i="27"/>
  <c r="BB345" i="27"/>
  <c r="BB346" i="27"/>
  <c r="BB347" i="27"/>
  <c r="BB348" i="27"/>
  <c r="BB349" i="27"/>
  <c r="BB350" i="27"/>
  <c r="BB351" i="27"/>
  <c r="BB352" i="27"/>
  <c r="BB353" i="27"/>
  <c r="BB354" i="27"/>
  <c r="BB355" i="27"/>
  <c r="BB356" i="27"/>
  <c r="BB357" i="27"/>
  <c r="BB358" i="27"/>
  <c r="BB359" i="27"/>
  <c r="BB360" i="27"/>
  <c r="BB361" i="27"/>
  <c r="BB362" i="27"/>
  <c r="BB363" i="27"/>
  <c r="BB364" i="27"/>
  <c r="BB365" i="27"/>
  <c r="BB366" i="27"/>
  <c r="BB367" i="27"/>
  <c r="BB368" i="27"/>
  <c r="BB369" i="27"/>
  <c r="BB370" i="27"/>
  <c r="BB371" i="27"/>
  <c r="BB372" i="27"/>
  <c r="BB373" i="27"/>
  <c r="BB374" i="27"/>
  <c r="BB375" i="27"/>
  <c r="BB376" i="27"/>
  <c r="BB377" i="27"/>
  <c r="BB378" i="27"/>
  <c r="BB379" i="27"/>
  <c r="BB342" i="27"/>
  <c r="BB285" i="27"/>
  <c r="BB286" i="27"/>
  <c r="BB287" i="27"/>
  <c r="BB288" i="27"/>
  <c r="BB289" i="27"/>
  <c r="BB290" i="27"/>
  <c r="BB291" i="27"/>
  <c r="BB292" i="27"/>
  <c r="BB293" i="27"/>
  <c r="BB294" i="27"/>
  <c r="BB295" i="27"/>
  <c r="BB296" i="27"/>
  <c r="BB297" i="27"/>
  <c r="BB298" i="27"/>
  <c r="BB299" i="27"/>
  <c r="BB300" i="27"/>
  <c r="BB301" i="27"/>
  <c r="BB302" i="27"/>
  <c r="BB303" i="27"/>
  <c r="BB304" i="27"/>
  <c r="BB305" i="27"/>
  <c r="BB306" i="27"/>
  <c r="BB307" i="27"/>
  <c r="BB308" i="27"/>
  <c r="BB309" i="27"/>
  <c r="BB310" i="27"/>
  <c r="BB311" i="27"/>
  <c r="BB312" i="27"/>
  <c r="BB313" i="27"/>
  <c r="BB314" i="27"/>
  <c r="BB315" i="27"/>
  <c r="BB316" i="27"/>
  <c r="BB317" i="27"/>
  <c r="BB318" i="27"/>
  <c r="BB319" i="27"/>
  <c r="BB320" i="27"/>
  <c r="BB321" i="27"/>
  <c r="BB322" i="27"/>
  <c r="BB323" i="27"/>
  <c r="BB284" i="27"/>
  <c r="BB237" i="27"/>
  <c r="BB238" i="27"/>
  <c r="BB239" i="27"/>
  <c r="BB240" i="27"/>
  <c r="BB241" i="27"/>
  <c r="BB242" i="27"/>
  <c r="BB243" i="27"/>
  <c r="BB244" i="27"/>
  <c r="BB245" i="27"/>
  <c r="BB246" i="27"/>
  <c r="BB247" i="27"/>
  <c r="BB248" i="27"/>
  <c r="BB249" i="27"/>
  <c r="BB250" i="27"/>
  <c r="BB251" i="27"/>
  <c r="BB252" i="27"/>
  <c r="BB253" i="27"/>
  <c r="BB254" i="27"/>
  <c r="BB255" i="27"/>
  <c r="BB256" i="27"/>
  <c r="BB257" i="27"/>
  <c r="BB258" i="27"/>
  <c r="BB259" i="27"/>
  <c r="BB260" i="27"/>
  <c r="BB261" i="27"/>
  <c r="BB262" i="27"/>
  <c r="BB263" i="27"/>
  <c r="BB264" i="27"/>
  <c r="BB265" i="27"/>
  <c r="BB266" i="27"/>
  <c r="BB267" i="27"/>
  <c r="BB268" i="27"/>
  <c r="BB269" i="27"/>
  <c r="BB270" i="27"/>
  <c r="BB271" i="27"/>
  <c r="BB272" i="27"/>
  <c r="BB273" i="27"/>
  <c r="BB274" i="27"/>
  <c r="BB236" i="27"/>
  <c r="BP146" i="27" a="1"/>
  <c r="BP146" i="27" s="1"/>
  <c r="BO146" i="27" a="1"/>
  <c r="BO146" i="27" s="1"/>
  <c r="BN146" i="27" a="1"/>
  <c r="BN146" i="27" s="1"/>
  <c r="BP145" i="27" a="1"/>
  <c r="BP145" i="27" s="1"/>
  <c r="BO145" i="27" a="1"/>
  <c r="BO145" i="27" s="1"/>
  <c r="BN145" i="27" a="1"/>
  <c r="BN145" i="27" s="1"/>
  <c r="BP144" i="27" a="1"/>
  <c r="BP144" i="27" s="1"/>
  <c r="BO144" i="27" a="1"/>
  <c r="BO144" i="27" s="1"/>
  <c r="BN144" i="27" a="1"/>
  <c r="BN144" i="27" s="1"/>
  <c r="BP143" i="27" a="1"/>
  <c r="BP143" i="27" s="1"/>
  <c r="BO143" i="27" a="1"/>
  <c r="BO143" i="27" s="1"/>
  <c r="BN143" i="27" a="1"/>
  <c r="BN143" i="27" s="1"/>
  <c r="BP142" i="27" a="1"/>
  <c r="BP142" i="27" s="1"/>
  <c r="BO142" i="27" a="1"/>
  <c r="BO142" i="27" s="1"/>
  <c r="BN142" i="27" a="1"/>
  <c r="BN142" i="27" s="1"/>
  <c r="BP141" i="27" a="1"/>
  <c r="BP141" i="27" s="1"/>
  <c r="BO141" i="27" a="1"/>
  <c r="BO141" i="27" s="1"/>
  <c r="BN141" i="27" a="1"/>
  <c r="BN141" i="27" s="1"/>
  <c r="BP140" i="27" a="1"/>
  <c r="BP140" i="27" s="1"/>
  <c r="BO140" i="27" a="1"/>
  <c r="BO140" i="27" s="1"/>
  <c r="BN140" i="27" a="1"/>
  <c r="BN140" i="27" s="1"/>
  <c r="BP139" i="27" a="1"/>
  <c r="BP139" i="27" s="1"/>
  <c r="BO139" i="27" a="1"/>
  <c r="BO139" i="27" s="1"/>
  <c r="BN139" i="27" a="1"/>
  <c r="BN139" i="27" s="1"/>
  <c r="BP138" i="27" a="1"/>
  <c r="BP138" i="27" s="1"/>
  <c r="BO138" i="27" a="1"/>
  <c r="BO138" i="27" s="1"/>
  <c r="BN138" i="27" a="1"/>
  <c r="BN138" i="27" s="1"/>
  <c r="BP137" i="27" a="1"/>
  <c r="BP137" i="27" s="1"/>
  <c r="BO137" i="27" a="1"/>
  <c r="BO137" i="27" s="1"/>
  <c r="BN137" i="27" a="1"/>
  <c r="BN137" i="27" s="1"/>
  <c r="BP136" i="27" a="1"/>
  <c r="BP136" i="27" s="1"/>
  <c r="BO136" i="27" a="1"/>
  <c r="BO136" i="27" s="1"/>
  <c r="BN136" i="27" a="1"/>
  <c r="BN136" i="27" s="1"/>
  <c r="BP135" i="27" a="1"/>
  <c r="BP135" i="27" s="1"/>
  <c r="BO135" i="27" a="1"/>
  <c r="BO135" i="27" s="1"/>
  <c r="BN135" i="27" a="1"/>
  <c r="BN135" i="27" s="1"/>
  <c r="BP134" i="27" a="1"/>
  <c r="BP134" i="27" s="1"/>
  <c r="BO134" i="27" a="1"/>
  <c r="BO134" i="27" s="1"/>
  <c r="BN134" i="27" a="1"/>
  <c r="BN134" i="27" s="1"/>
  <c r="BP133" i="27" a="1"/>
  <c r="BP133" i="27" s="1"/>
  <c r="BO133" i="27" a="1"/>
  <c r="BO133" i="27" s="1"/>
  <c r="BN133" i="27" a="1"/>
  <c r="BN133" i="27" s="1"/>
  <c r="BP132" i="27" a="1"/>
  <c r="BP132" i="27" s="1"/>
  <c r="BO132" i="27" a="1"/>
  <c r="BO132" i="27" s="1"/>
  <c r="BN132" i="27" a="1"/>
  <c r="BN132" i="27" s="1"/>
  <c r="BP131" i="27" a="1"/>
  <c r="BP131" i="27" s="1"/>
  <c r="BO131" i="27" a="1"/>
  <c r="BO131" i="27" s="1"/>
  <c r="BN131" i="27" a="1"/>
  <c r="BN131" i="27" s="1"/>
  <c r="BP130" i="27" a="1"/>
  <c r="BP130" i="27" s="1"/>
  <c r="BO130" i="27" a="1"/>
  <c r="BO130" i="27" s="1"/>
  <c r="BN130" i="27" a="1"/>
  <c r="BN130" i="27" s="1"/>
  <c r="BP129" i="27" a="1"/>
  <c r="BP129" i="27" s="1"/>
  <c r="BO129" i="27" a="1"/>
  <c r="BO129" i="27" s="1"/>
  <c r="BN129" i="27" a="1"/>
  <c r="BN129" i="27" s="1"/>
  <c r="BP128" i="27" a="1"/>
  <c r="BP128" i="27" s="1"/>
  <c r="BO128" i="27" a="1"/>
  <c r="BO128" i="27" s="1"/>
  <c r="BN128" i="27" a="1"/>
  <c r="BN128" i="27" s="1"/>
  <c r="BP127" i="27" a="1"/>
  <c r="BP127" i="27" s="1"/>
  <c r="BO127" i="27" a="1"/>
  <c r="BO127" i="27" s="1"/>
  <c r="BN127" i="27" a="1"/>
  <c r="BN127" i="27" s="1"/>
  <c r="BP126" i="27" a="1"/>
  <c r="BP126" i="27" s="1"/>
  <c r="BO126" i="27" a="1"/>
  <c r="BO126" i="27" s="1"/>
  <c r="BN126" i="27" a="1"/>
  <c r="BN126" i="27" s="1"/>
  <c r="BP125" i="27" a="1"/>
  <c r="BP125" i="27" s="1"/>
  <c r="BO125" i="27" a="1"/>
  <c r="BO125" i="27" s="1"/>
  <c r="BN125" i="27" a="1"/>
  <c r="BN125" i="27" s="1"/>
  <c r="BP124" i="27" a="1"/>
  <c r="BP124" i="27" s="1"/>
  <c r="BO124" i="27" a="1"/>
  <c r="BO124" i="27" s="1"/>
  <c r="BN124" i="27" a="1"/>
  <c r="BN124" i="27" s="1"/>
  <c r="BP123" i="27" a="1"/>
  <c r="BP123" i="27" s="1"/>
  <c r="BO123" i="27" a="1"/>
  <c r="BO123" i="27" s="1"/>
  <c r="BN123" i="27" a="1"/>
  <c r="BN123" i="27" s="1"/>
  <c r="BP122" i="27" a="1"/>
  <c r="BP122" i="27" s="1"/>
  <c r="BO122" i="27" a="1"/>
  <c r="BO122" i="27" s="1"/>
  <c r="BN122" i="27" a="1"/>
  <c r="BN122" i="27" s="1"/>
  <c r="BP121" i="27" a="1"/>
  <c r="BP121" i="27" s="1"/>
  <c r="BO121" i="27" a="1"/>
  <c r="BO121" i="27" s="1"/>
  <c r="BN121" i="27" a="1"/>
  <c r="BN121" i="27" s="1"/>
  <c r="BP120" i="27" a="1"/>
  <c r="BP120" i="27" s="1"/>
  <c r="BO120" i="27" a="1"/>
  <c r="BO120" i="27" s="1"/>
  <c r="BN120" i="27" a="1"/>
  <c r="BN120" i="27" s="1"/>
  <c r="BP119" i="27" a="1"/>
  <c r="BP119" i="27" s="1"/>
  <c r="BO119" i="27" a="1"/>
  <c r="BO119" i="27" s="1"/>
  <c r="BN119" i="27" a="1"/>
  <c r="BN119" i="27" s="1"/>
  <c r="BP118" i="27" a="1"/>
  <c r="BP118" i="27" s="1"/>
  <c r="BO118" i="27" a="1"/>
  <c r="BO118" i="27" s="1"/>
  <c r="BN118" i="27" a="1"/>
  <c r="BN118" i="27" s="1"/>
  <c r="BP117" i="27" a="1"/>
  <c r="BP117" i="27" s="1"/>
  <c r="BO117" i="27" a="1"/>
  <c r="BO117" i="27" s="1"/>
  <c r="BN117" i="27" a="1"/>
  <c r="BN117" i="27" s="1"/>
  <c r="BP116" i="27" a="1"/>
  <c r="BP116" i="27" s="1"/>
  <c r="BO116" i="27" a="1"/>
  <c r="BO116" i="27" s="1"/>
  <c r="BN116" i="27" a="1"/>
  <c r="BN116" i="27" s="1"/>
  <c r="BP114" i="27" a="1"/>
  <c r="BP114" i="27" s="1"/>
  <c r="BO114" i="27" a="1"/>
  <c r="BO114" i="27" s="1"/>
  <c r="BN114" i="27" a="1"/>
  <c r="BN114" i="27" s="1"/>
  <c r="BP115" i="27" a="1"/>
  <c r="BP115" i="27" s="1"/>
  <c r="BO115" i="27" a="1"/>
  <c r="BO115" i="27" s="1"/>
  <c r="BN115" i="27" a="1"/>
  <c r="BN115" i="27" s="1"/>
  <c r="CB142" i="27" l="1"/>
  <c r="CA142" i="27"/>
  <c r="BZ142" i="27"/>
  <c r="BY142" i="27"/>
  <c r="M203" i="48"/>
  <c r="AN64" i="27" l="1"/>
  <c r="AN68" i="27" s="1"/>
  <c r="AL64" i="27"/>
  <c r="AL68" i="27" s="1"/>
  <c r="AK64" i="27"/>
  <c r="AK68" i="27" s="1"/>
  <c r="AJ64" i="27"/>
  <c r="AJ68" i="27" s="1"/>
  <c r="AI64" i="27"/>
  <c r="AI68" i="27" s="1"/>
  <c r="AG64" i="27"/>
  <c r="AG68" i="27" s="1"/>
  <c r="AF64" i="27"/>
  <c r="AF68" i="27" s="1"/>
  <c r="AE64" i="27"/>
  <c r="AE68" i="27" s="1"/>
  <c r="AD64" i="27"/>
  <c r="AD68" i="27" s="1"/>
  <c r="AC64" i="27"/>
  <c r="AC68" i="27" s="1"/>
  <c r="AB64" i="27"/>
  <c r="AB68" i="27" s="1"/>
  <c r="AA64" i="27"/>
  <c r="AA68" i="27" s="1"/>
  <c r="Z64" i="27"/>
  <c r="Z68" i="27" s="1"/>
  <c r="Y64" i="27"/>
  <c r="Y68" i="27" s="1"/>
  <c r="X64" i="27"/>
  <c r="X68" i="27" s="1"/>
  <c r="W64" i="27"/>
  <c r="W68" i="27" s="1"/>
  <c r="U64" i="27"/>
  <c r="U68" i="27" s="1"/>
  <c r="T64" i="27"/>
  <c r="T68" i="27" s="1"/>
  <c r="S64" i="27"/>
  <c r="S68" i="27" s="1"/>
  <c r="R64" i="27"/>
  <c r="R68" i="27" s="1"/>
  <c r="Q64" i="27"/>
  <c r="Q68" i="27" s="1"/>
  <c r="P64" i="27"/>
  <c r="P68" i="27" s="1"/>
  <c r="O40" i="27"/>
  <c r="Z100" i="27" l="1"/>
  <c r="AA100" i="27" l="1"/>
  <c r="AC100" i="27"/>
  <c r="AD100" i="27"/>
  <c r="CB104" i="27"/>
  <c r="CA104" i="27"/>
  <c r="BZ104" i="27"/>
  <c r="BY104" i="27"/>
  <c r="AG100" i="27" l="1"/>
  <c r="AG99" i="27"/>
  <c r="AG98" i="27"/>
  <c r="AG97" i="27"/>
  <c r="AG96" i="27"/>
  <c r="AG95" i="27"/>
  <c r="AG94" i="27"/>
  <c r="AG93" i="27"/>
  <c r="AG92" i="27"/>
  <c r="AF100" i="27"/>
  <c r="AF99" i="27"/>
  <c r="AF98" i="27"/>
  <c r="AF97" i="27"/>
  <c r="AF96" i="27"/>
  <c r="AF95" i="27"/>
  <c r="AF94" i="27"/>
  <c r="AF93" i="27"/>
  <c r="AF92" i="27"/>
  <c r="AE100" i="27"/>
  <c r="AE99" i="27"/>
  <c r="AE98" i="27"/>
  <c r="AE97" i="27"/>
  <c r="AE96" i="27"/>
  <c r="AE95" i="27"/>
  <c r="AE94" i="27"/>
  <c r="AE93" i="27"/>
  <c r="AE92" i="27"/>
  <c r="AG91" i="27"/>
  <c r="AF91" i="27"/>
  <c r="AG90" i="27"/>
  <c r="AF90" i="27"/>
  <c r="AG89" i="27"/>
  <c r="AF89" i="27"/>
  <c r="AG88" i="27"/>
  <c r="AF88" i="27"/>
  <c r="AG87" i="27"/>
  <c r="AF87" i="27"/>
  <c r="AG86" i="27"/>
  <c r="AF86" i="27"/>
  <c r="AG85" i="27"/>
  <c r="AF85" i="27"/>
  <c r="AG84" i="27"/>
  <c r="AF84" i="27"/>
  <c r="AG83" i="27"/>
  <c r="AF83" i="27"/>
  <c r="AG82" i="27"/>
  <c r="AF82" i="27"/>
  <c r="AG81" i="27"/>
  <c r="AF81" i="27"/>
  <c r="AG80" i="27"/>
  <c r="AF80" i="27"/>
  <c r="AG79" i="27"/>
  <c r="AF79" i="27"/>
  <c r="AG78" i="27"/>
  <c r="AF78" i="27"/>
  <c r="AG77" i="27"/>
  <c r="AF77" i="27"/>
  <c r="AG76" i="27"/>
  <c r="AF76" i="27"/>
  <c r="AC94" i="27"/>
  <c r="AB100" i="27"/>
  <c r="AB99" i="27"/>
  <c r="AB98" i="27"/>
  <c r="AB97" i="27"/>
  <c r="AB96" i="27"/>
  <c r="AB95" i="27"/>
  <c r="AB94" i="27"/>
  <c r="AE91" i="27"/>
  <c r="AE90" i="27"/>
  <c r="AE89" i="27"/>
  <c r="AE88" i="27"/>
  <c r="AE87" i="27"/>
  <c r="AE86" i="27"/>
  <c r="AE85" i="27"/>
  <c r="AE84" i="27"/>
  <c r="AE83" i="27"/>
  <c r="AE82" i="27"/>
  <c r="AE81" i="27"/>
  <c r="AE80" i="27"/>
  <c r="AE79" i="27"/>
  <c r="AE78" i="27"/>
  <c r="AE77" i="27"/>
  <c r="AE76" i="27"/>
  <c r="AD93" i="27"/>
  <c r="AD92" i="27"/>
  <c r="AD91" i="27"/>
  <c r="AD90" i="27"/>
  <c r="AD89" i="27"/>
  <c r="AD88" i="27"/>
  <c r="AD87" i="27"/>
  <c r="AD86" i="27"/>
  <c r="AD85" i="27"/>
  <c r="AD84" i="27"/>
  <c r="AD83" i="27"/>
  <c r="AD82" i="27"/>
  <c r="AD81" i="27"/>
  <c r="AD80" i="27"/>
  <c r="AD79" i="27"/>
  <c r="AD78" i="27"/>
  <c r="AD77" i="27"/>
  <c r="AD76" i="27"/>
  <c r="AC93" i="27"/>
  <c r="AC92" i="27"/>
  <c r="AC91" i="27"/>
  <c r="AC90" i="27"/>
  <c r="AC89" i="27"/>
  <c r="AC88" i="27"/>
  <c r="AC87" i="27"/>
  <c r="AC86" i="27"/>
  <c r="AC85" i="27"/>
  <c r="AC84" i="27"/>
  <c r="AC83" i="27"/>
  <c r="AC82" i="27"/>
  <c r="AC81" i="27"/>
  <c r="AC80" i="27"/>
  <c r="AC79" i="27"/>
  <c r="AC78" i="27"/>
  <c r="AC77" i="27"/>
  <c r="AC76" i="27"/>
  <c r="AB93" i="27"/>
  <c r="AB92" i="27"/>
  <c r="AB91" i="27"/>
  <c r="AB90" i="27"/>
  <c r="AB89" i="27"/>
  <c r="AB88" i="27"/>
  <c r="AB87" i="27"/>
  <c r="AB86" i="27"/>
  <c r="AB85" i="27"/>
  <c r="AB84" i="27"/>
  <c r="AB83" i="27"/>
  <c r="AB82" i="27"/>
  <c r="AB81" i="27"/>
  <c r="AB80" i="27"/>
  <c r="AB79" i="27"/>
  <c r="AB78" i="27"/>
  <c r="AB77" i="27"/>
  <c r="AB76" i="27"/>
  <c r="AA93" i="27"/>
  <c r="AA92" i="27"/>
  <c r="AA91" i="27"/>
  <c r="AA90" i="27"/>
  <c r="AA89" i="27"/>
  <c r="AA88" i="27"/>
  <c r="AA87" i="27"/>
  <c r="AA86" i="27"/>
  <c r="AA85" i="27"/>
  <c r="AA84" i="27"/>
  <c r="AA83" i="27"/>
  <c r="AA82" i="27"/>
  <c r="AA81" i="27"/>
  <c r="AA80" i="27"/>
  <c r="AA79" i="27"/>
  <c r="AA78" i="27"/>
  <c r="AA77" i="27"/>
  <c r="AA76" i="27"/>
  <c r="Z99" i="27"/>
  <c r="AA99" i="27" s="1"/>
  <c r="Z98" i="27"/>
  <c r="AA98" i="27" s="1"/>
  <c r="Z97" i="27"/>
  <c r="AA97" i="27" s="1"/>
  <c r="Z96" i="27"/>
  <c r="AD96" i="27" s="1"/>
  <c r="Z95" i="27"/>
  <c r="AD95" i="27" s="1"/>
  <c r="Z94" i="27"/>
  <c r="AD94" i="27" s="1"/>
  <c r="Z93" i="27"/>
  <c r="Z92" i="27"/>
  <c r="Z91" i="27"/>
  <c r="Z90" i="27"/>
  <c r="Z89" i="27"/>
  <c r="Z88" i="27"/>
  <c r="Z87" i="27"/>
  <c r="Z86" i="27"/>
  <c r="Z85" i="27"/>
  <c r="Z84" i="27"/>
  <c r="Z83" i="27"/>
  <c r="Z82" i="27"/>
  <c r="Z81" i="27"/>
  <c r="Z80" i="27"/>
  <c r="Z79" i="27"/>
  <c r="Z78" i="27"/>
  <c r="Z77" i="27"/>
  <c r="Z76" i="27"/>
  <c r="BY106" i="27" l="1" a="1"/>
  <c r="BY106" i="27" s="1"/>
  <c r="BY120" i="27" a="1"/>
  <c r="BY120" i="27" s="1"/>
  <c r="CA167" i="27" a="1"/>
  <c r="CA167" i="27" s="1"/>
  <c r="CA155" i="27" a="1"/>
  <c r="CA155" i="27" s="1"/>
  <c r="CA147" i="27" a="1"/>
  <c r="CA147" i="27" s="1"/>
  <c r="CA146" i="27" a="1"/>
  <c r="CA146" i="27" s="1"/>
  <c r="CA175" i="27" a="1"/>
  <c r="CA175" i="27" s="1"/>
  <c r="CA162" i="27" a="1"/>
  <c r="CA162" i="27" s="1"/>
  <c r="CA161" i="27" a="1"/>
  <c r="CA161" i="27" s="1"/>
  <c r="CA154" i="27" a="1"/>
  <c r="CA154" i="27" s="1"/>
  <c r="CA153" i="27" a="1"/>
  <c r="CA153" i="27" s="1"/>
  <c r="CA177" i="27" a="1"/>
  <c r="CA177" i="27" s="1"/>
  <c r="CA171" i="27" a="1"/>
  <c r="CA171" i="27" s="1"/>
  <c r="CA144" i="27" a="1"/>
  <c r="CA144" i="27" s="1"/>
  <c r="CA160" i="27" a="1"/>
  <c r="CA160" i="27" s="1"/>
  <c r="CA178" i="27" a="1"/>
  <c r="CA178" i="27" s="1"/>
  <c r="CA168" i="27" a="1"/>
  <c r="CA168" i="27" s="1"/>
  <c r="CA158" i="27" a="1"/>
  <c r="CA158" i="27" s="1"/>
  <c r="CA159" i="27" a="1"/>
  <c r="CA159" i="27" s="1"/>
  <c r="CA156" i="27" a="1"/>
  <c r="CA156" i="27" s="1"/>
  <c r="CA169" i="27" a="1"/>
  <c r="CA169" i="27" s="1"/>
  <c r="CA176" i="27" a="1"/>
  <c r="CA176" i="27" s="1"/>
  <c r="CA152" i="27" a="1"/>
  <c r="CA152" i="27" s="1"/>
  <c r="CA150" i="27" a="1"/>
  <c r="CA150" i="27" s="1"/>
  <c r="CA173" i="27" a="1"/>
  <c r="CA173" i="27" s="1"/>
  <c r="CA151" i="27" a="1"/>
  <c r="CA151" i="27" s="1"/>
  <c r="CA172" i="27" a="1"/>
  <c r="CA172" i="27" s="1"/>
  <c r="CA145" i="27" a="1"/>
  <c r="CA145" i="27" s="1"/>
  <c r="CA164" i="27" a="1"/>
  <c r="CA164" i="27" s="1"/>
  <c r="CA165" i="27" a="1"/>
  <c r="CA165" i="27" s="1"/>
  <c r="CA166" i="27" a="1"/>
  <c r="CA166" i="27" s="1"/>
  <c r="CA148" i="27" a="1"/>
  <c r="CA148" i="27" s="1"/>
  <c r="CA170" i="27" a="1"/>
  <c r="CA170" i="27" s="1"/>
  <c r="CA157" i="27" a="1"/>
  <c r="CA157" i="27" s="1"/>
  <c r="CA163" i="27" a="1"/>
  <c r="CA163" i="27" s="1"/>
  <c r="CA174" i="27" a="1"/>
  <c r="CA174" i="27" s="1"/>
  <c r="CA149" i="27" a="1"/>
  <c r="CA149" i="27" s="1"/>
  <c r="BZ177" i="27" a="1"/>
  <c r="BZ177" i="27" s="1"/>
  <c r="BZ175" i="27" a="1"/>
  <c r="BZ175" i="27" s="1"/>
  <c r="BZ173" i="27" a="1"/>
  <c r="BZ173" i="27" s="1"/>
  <c r="BZ171" i="27" a="1"/>
  <c r="BZ171" i="27" s="1"/>
  <c r="BZ169" i="27" a="1"/>
  <c r="BZ169" i="27" s="1"/>
  <c r="BZ167" i="27" a="1"/>
  <c r="BZ167" i="27" s="1"/>
  <c r="BZ165" i="27" a="1"/>
  <c r="BZ165" i="27" s="1"/>
  <c r="BZ163" i="27" a="1"/>
  <c r="BZ163" i="27" s="1"/>
  <c r="BZ161" i="27" a="1"/>
  <c r="BZ161" i="27" s="1"/>
  <c r="BZ159" i="27" a="1"/>
  <c r="BZ159" i="27" s="1"/>
  <c r="BZ157" i="27" a="1"/>
  <c r="BZ157" i="27" s="1"/>
  <c r="BY177" i="27" a="1"/>
  <c r="BY177" i="27" s="1"/>
  <c r="BY175" i="27" a="1"/>
  <c r="BY175" i="27" s="1"/>
  <c r="BZ227" i="27" s="1" a="1"/>
  <c r="BZ227" i="27" s="1"/>
  <c r="BY173" i="27" a="1"/>
  <c r="BY173" i="27" s="1"/>
  <c r="BZ225" i="27" s="1" a="1"/>
  <c r="BZ225" i="27" s="1"/>
  <c r="BY171" i="27" a="1"/>
  <c r="BY171" i="27" s="1"/>
  <c r="BZ223" i="27" s="1" a="1"/>
  <c r="BZ223" i="27" s="1"/>
  <c r="BY169" i="27" a="1"/>
  <c r="BY169" i="27" s="1"/>
  <c r="BZ221" i="27" s="1" a="1"/>
  <c r="BZ221" i="27" s="1"/>
  <c r="BY167" i="27" a="1"/>
  <c r="BY167" i="27" s="1"/>
  <c r="BZ219" i="27" s="1" a="1"/>
  <c r="BZ219" i="27" s="1"/>
  <c r="CB178" i="27" a="1"/>
  <c r="CB178" i="27" s="1"/>
  <c r="CB176" i="27" a="1"/>
  <c r="CB176" i="27" s="1"/>
  <c r="CB174" i="27" a="1"/>
  <c r="CB174" i="27" s="1"/>
  <c r="CB172" i="27" a="1"/>
  <c r="CB172" i="27" s="1"/>
  <c r="CB170" i="27" a="1"/>
  <c r="CB170" i="27" s="1"/>
  <c r="CB168" i="27" a="1"/>
  <c r="CB168" i="27" s="1"/>
  <c r="CB166" i="27" a="1"/>
  <c r="CB166" i="27" s="1"/>
  <c r="CB164" i="27" a="1"/>
  <c r="CB164" i="27" s="1"/>
  <c r="CB162" i="27" a="1"/>
  <c r="CB162" i="27" s="1"/>
  <c r="BY178" i="27" a="1"/>
  <c r="BY178" i="27" s="1"/>
  <c r="BY176" i="27" a="1"/>
  <c r="BY176" i="27" s="1"/>
  <c r="BZ228" i="27" s="1" a="1"/>
  <c r="BZ228" i="27" s="1"/>
  <c r="BY174" i="27" a="1"/>
  <c r="BY174" i="27" s="1"/>
  <c r="BZ226" i="27" s="1" a="1"/>
  <c r="BZ226" i="27" s="1"/>
  <c r="BY172" i="27" a="1"/>
  <c r="BY172" i="27" s="1"/>
  <c r="BZ224" i="27" s="1" a="1"/>
  <c r="BZ224" i="27" s="1"/>
  <c r="BY170" i="27" a="1"/>
  <c r="BY170" i="27" s="1"/>
  <c r="BZ222" i="27" s="1" a="1"/>
  <c r="BZ222" i="27" s="1"/>
  <c r="BY168" i="27" a="1"/>
  <c r="BY168" i="27" s="1"/>
  <c r="BZ220" i="27" s="1" a="1"/>
  <c r="BZ220" i="27" s="1"/>
  <c r="BY166" i="27" a="1"/>
  <c r="BY166" i="27" s="1"/>
  <c r="BZ218" i="27" s="1" a="1"/>
  <c r="BZ218" i="27" s="1"/>
  <c r="BY164" i="27" a="1"/>
  <c r="BY164" i="27" s="1"/>
  <c r="BZ216" i="27" s="1" a="1"/>
  <c r="BZ216" i="27" s="1"/>
  <c r="BY162" i="27" a="1"/>
  <c r="BY162" i="27" s="1"/>
  <c r="BZ214" i="27" s="1" a="1"/>
  <c r="BZ214" i="27" s="1"/>
  <c r="BY160" i="27" a="1"/>
  <c r="BY160" i="27" s="1"/>
  <c r="BZ212" i="27" s="1" a="1"/>
  <c r="BZ212" i="27" s="1"/>
  <c r="BY158" i="27" a="1"/>
  <c r="BY158" i="27" s="1"/>
  <c r="BZ210" i="27" s="1" a="1"/>
  <c r="BZ210" i="27" s="1"/>
  <c r="BY156" i="27" a="1"/>
  <c r="BY156" i="27" s="1"/>
  <c r="BZ208" i="27" s="1" a="1"/>
  <c r="BZ208" i="27" s="1"/>
  <c r="BY154" i="27" a="1"/>
  <c r="BY154" i="27" s="1"/>
  <c r="BZ206" i="27" s="1" a="1"/>
  <c r="BZ206" i="27" s="1"/>
  <c r="BY152" i="27" a="1"/>
  <c r="BY152" i="27" s="1"/>
  <c r="BZ204" i="27" s="1" a="1"/>
  <c r="BZ204" i="27" s="1"/>
  <c r="BY150" i="27" a="1"/>
  <c r="BY150" i="27" s="1"/>
  <c r="BZ202" i="27" s="1" a="1"/>
  <c r="BZ202" i="27" s="1"/>
  <c r="BY148" i="27" a="1"/>
  <c r="BY148" i="27" s="1"/>
  <c r="BZ200" i="27" s="1" a="1"/>
  <c r="BZ200" i="27" s="1"/>
  <c r="BZ176" i="27" a="1"/>
  <c r="BZ176" i="27" s="1"/>
  <c r="BZ172" i="27" a="1"/>
  <c r="BZ172" i="27" s="1"/>
  <c r="BZ168" i="27" a="1"/>
  <c r="BZ168" i="27" s="1"/>
  <c r="CB158" i="27" a="1"/>
  <c r="CB158" i="27" s="1"/>
  <c r="BZ156" i="27" a="1"/>
  <c r="BZ156" i="27" s="1"/>
  <c r="CB153" i="27" a="1"/>
  <c r="CB153" i="27" s="1"/>
  <c r="BZ149" i="27" a="1"/>
  <c r="BZ149" i="27" s="1"/>
  <c r="BY147" i="27" a="1"/>
  <c r="BY147" i="27" s="1"/>
  <c r="BZ199" i="27" s="1" a="1"/>
  <c r="BZ199" i="27" s="1"/>
  <c r="BY145" i="27" a="1"/>
  <c r="BY145" i="27" s="1"/>
  <c r="BZ197" i="27" s="1" a="1"/>
  <c r="BZ197" i="27" s="1"/>
  <c r="BY140" i="27" a="1"/>
  <c r="BY140" i="27" s="1"/>
  <c r="BY138" i="27" a="1"/>
  <c r="BY138" i="27" s="1"/>
  <c r="CA228" i="27" s="1" a="1"/>
  <c r="CA228" i="27" s="1"/>
  <c r="BY136" i="27" a="1"/>
  <c r="BY136" i="27" s="1"/>
  <c r="CA226" i="27" s="1" a="1"/>
  <c r="CA226" i="27" s="1"/>
  <c r="BY134" i="27" a="1"/>
  <c r="BY134" i="27" s="1"/>
  <c r="CA224" i="27" s="1" a="1"/>
  <c r="CA224" i="27" s="1"/>
  <c r="BY132" i="27" a="1"/>
  <c r="BY132" i="27" s="1"/>
  <c r="CA222" i="27" s="1" a="1"/>
  <c r="CA222" i="27" s="1"/>
  <c r="BY130" i="27" a="1"/>
  <c r="BY130" i="27" s="1"/>
  <c r="CA220" i="27" s="1" a="1"/>
  <c r="CA220" i="27" s="1"/>
  <c r="BY128" i="27" a="1"/>
  <c r="BY128" i="27" s="1"/>
  <c r="CA218" i="27" s="1" a="1"/>
  <c r="CA218" i="27" s="1"/>
  <c r="BY126" i="27" a="1"/>
  <c r="BY126" i="27" s="1"/>
  <c r="CA216" i="27" s="1" a="1"/>
  <c r="CA216" i="27" s="1"/>
  <c r="BY124" i="27" a="1"/>
  <c r="BY124" i="27" s="1"/>
  <c r="CA214" i="27" s="1" a="1"/>
  <c r="CA214" i="27" s="1"/>
  <c r="BY122" i="27" a="1"/>
  <c r="BY122" i="27" s="1"/>
  <c r="CA212" i="27" s="1" a="1"/>
  <c r="CA212" i="27" s="1"/>
  <c r="CA210" i="27" a="1"/>
  <c r="CA210" i="27" s="1"/>
  <c r="BY118" i="27" a="1"/>
  <c r="BY118" i="27" s="1"/>
  <c r="CA208" i="27" s="1" a="1"/>
  <c r="CA208" i="27" s="1"/>
  <c r="BY116" i="27" a="1"/>
  <c r="BY116" i="27" s="1"/>
  <c r="CA206" i="27" s="1" a="1"/>
  <c r="CA206" i="27" s="1"/>
  <c r="BY114" i="27" a="1"/>
  <c r="BY114" i="27" s="1"/>
  <c r="CA204" i="27" s="1" a="1"/>
  <c r="CA204" i="27" s="1"/>
  <c r="BY112" i="27" a="1"/>
  <c r="BY112" i="27" s="1"/>
  <c r="CA202" i="27" s="1" a="1"/>
  <c r="CA202" i="27" s="1"/>
  <c r="BY110" i="27" a="1"/>
  <c r="BY110" i="27" s="1"/>
  <c r="CA200" i="27" s="1" a="1"/>
  <c r="CA200" i="27" s="1"/>
  <c r="BY108" i="27" a="1"/>
  <c r="BY108" i="27" s="1"/>
  <c r="CA198" i="27" s="1" a="1"/>
  <c r="CA198" i="27" s="1"/>
  <c r="CA196" i="27" a="1"/>
  <c r="CA196" i="27" s="1"/>
  <c r="BY153" i="27" a="1"/>
  <c r="BY153" i="27" s="1"/>
  <c r="BZ205" i="27" s="1" a="1"/>
  <c r="BZ205" i="27" s="1"/>
  <c r="BZ146" i="27" a="1"/>
  <c r="BZ146" i="27" s="1"/>
  <c r="BZ137" i="27" a="1"/>
  <c r="BZ137" i="27" s="1"/>
  <c r="BZ131" i="27" a="1"/>
  <c r="BZ131" i="27" s="1"/>
  <c r="BZ125" i="27" a="1"/>
  <c r="BZ125" i="27" s="1"/>
  <c r="BZ119" i="27" a="1"/>
  <c r="BZ119" i="27" s="1"/>
  <c r="BZ113" i="27" a="1"/>
  <c r="BZ113" i="27" s="1"/>
  <c r="BZ107" i="27" a="1"/>
  <c r="BZ107" i="27" s="1"/>
  <c r="CB175" i="27" a="1"/>
  <c r="CB175" i="27" s="1"/>
  <c r="CB171" i="27" a="1"/>
  <c r="CB171" i="27" s="1"/>
  <c r="CB167" i="27" a="1"/>
  <c r="CB167" i="27" s="1"/>
  <c r="BZ164" i="27" a="1"/>
  <c r="BZ164" i="27" s="1"/>
  <c r="BY161" i="27" a="1"/>
  <c r="BY161" i="27" s="1"/>
  <c r="BZ213" i="27" s="1" a="1"/>
  <c r="BZ213" i="27" s="1"/>
  <c r="CB155" i="27" a="1"/>
  <c r="CB155" i="27" s="1"/>
  <c r="BZ151" i="27" a="1"/>
  <c r="BZ151" i="27" s="1"/>
  <c r="BY149" i="27" a="1"/>
  <c r="BY149" i="27" s="1"/>
  <c r="BZ201" i="27" s="1" a="1"/>
  <c r="BZ201" i="27" s="1"/>
  <c r="CB146" i="27" a="1"/>
  <c r="CB146" i="27" s="1"/>
  <c r="CB144" i="27" a="1"/>
  <c r="CB144" i="27" s="1"/>
  <c r="CB139" i="27" a="1"/>
  <c r="CB139" i="27" s="1"/>
  <c r="CB137" i="27" a="1"/>
  <c r="CB137" i="27" s="1"/>
  <c r="CB135" i="27" a="1"/>
  <c r="CB135" i="27" s="1"/>
  <c r="CB133" i="27" a="1"/>
  <c r="CB133" i="27" s="1"/>
  <c r="CB131" i="27" a="1"/>
  <c r="CB131" i="27" s="1"/>
  <c r="CB129" i="27" a="1"/>
  <c r="CB129" i="27" s="1"/>
  <c r="CB127" i="27" a="1"/>
  <c r="CB127" i="27" s="1"/>
  <c r="CB125" i="27" a="1"/>
  <c r="CB125" i="27" s="1"/>
  <c r="CB123" i="27" a="1"/>
  <c r="CB123" i="27" s="1"/>
  <c r="CB121" i="27" a="1"/>
  <c r="CB121" i="27" s="1"/>
  <c r="CB119" i="27" a="1"/>
  <c r="CB119" i="27" s="1"/>
  <c r="CB117" i="27" a="1"/>
  <c r="CB117" i="27" s="1"/>
  <c r="CB115" i="27" a="1"/>
  <c r="CB115" i="27" s="1"/>
  <c r="CB113" i="27" a="1"/>
  <c r="CB113" i="27" s="1"/>
  <c r="CB111" i="27" a="1"/>
  <c r="CB111" i="27" s="1"/>
  <c r="CB109" i="27" a="1"/>
  <c r="CB109" i="27" s="1"/>
  <c r="CB107" i="27" a="1"/>
  <c r="CB107" i="27" s="1"/>
  <c r="CB157" i="27" a="1"/>
  <c r="CB157" i="27" s="1"/>
  <c r="CB150" i="27" a="1"/>
  <c r="CB150" i="27" s="1"/>
  <c r="BZ144" i="27" a="1"/>
  <c r="BZ144" i="27" s="1"/>
  <c r="BZ133" i="27" a="1"/>
  <c r="BZ133" i="27" s="1"/>
  <c r="BZ127" i="27" a="1"/>
  <c r="BZ127" i="27" s="1"/>
  <c r="BZ121" i="27" a="1"/>
  <c r="BZ121" i="27" s="1"/>
  <c r="BZ115" i="27" a="1"/>
  <c r="BZ115" i="27" s="1"/>
  <c r="BZ109" i="27" a="1"/>
  <c r="BZ109" i="27" s="1"/>
  <c r="CB163" i="27" a="1"/>
  <c r="CB163" i="27" s="1"/>
  <c r="CB160" i="27" a="1"/>
  <c r="CB160" i="27" s="1"/>
  <c r="BZ158" i="27" a="1"/>
  <c r="BZ158" i="27" s="1"/>
  <c r="BZ153" i="27" a="1"/>
  <c r="BZ153" i="27" s="1"/>
  <c r="BY151" i="27" a="1"/>
  <c r="BY151" i="27" s="1"/>
  <c r="BZ203" i="27" s="1" a="1"/>
  <c r="BZ203" i="27" s="1"/>
  <c r="CB148" i="27" a="1"/>
  <c r="CB148" i="27" s="1"/>
  <c r="CA139" i="27" a="1"/>
  <c r="CA139" i="27" s="1"/>
  <c r="CA137" i="27" a="1"/>
  <c r="CA137" i="27" s="1"/>
  <c r="CA135" i="27" a="1"/>
  <c r="CA135" i="27" s="1"/>
  <c r="CA133" i="27" a="1"/>
  <c r="CA133" i="27" s="1"/>
  <c r="CA131" i="27" a="1"/>
  <c r="CA131" i="27" s="1"/>
  <c r="CA129" i="27" a="1"/>
  <c r="CA129" i="27" s="1"/>
  <c r="CA127" i="27" a="1"/>
  <c r="CA127" i="27" s="1"/>
  <c r="CA125" i="27" a="1"/>
  <c r="CA125" i="27" s="1"/>
  <c r="CA123" i="27" a="1"/>
  <c r="CA123" i="27" s="1"/>
  <c r="CA121" i="27" a="1"/>
  <c r="CA121" i="27" s="1"/>
  <c r="CA119" i="27" a="1"/>
  <c r="CA119" i="27" s="1"/>
  <c r="CA117" i="27" a="1"/>
  <c r="CA117" i="27" s="1"/>
  <c r="CA115" i="27" a="1"/>
  <c r="CA115" i="27" s="1"/>
  <c r="CA113" i="27" a="1"/>
  <c r="CA113" i="27" s="1"/>
  <c r="CA111" i="27" a="1"/>
  <c r="CA111" i="27" s="1"/>
  <c r="CA109" i="27" a="1"/>
  <c r="CA109" i="27" s="1"/>
  <c r="CA107" i="27" a="1"/>
  <c r="CA107" i="27" s="1"/>
  <c r="BZ155" i="27" a="1"/>
  <c r="BZ155" i="27" s="1"/>
  <c r="BZ139" i="27" a="1"/>
  <c r="BZ139" i="27" s="1"/>
  <c r="BZ135" i="27" a="1"/>
  <c r="BZ135" i="27" s="1"/>
  <c r="BZ129" i="27" a="1"/>
  <c r="BZ129" i="27" s="1"/>
  <c r="BZ123" i="27" a="1"/>
  <c r="BZ123" i="27" s="1"/>
  <c r="BZ117" i="27" a="1"/>
  <c r="BZ117" i="27" s="1"/>
  <c r="BZ111" i="27" a="1"/>
  <c r="BZ111" i="27" s="1"/>
  <c r="CB177" i="27" a="1"/>
  <c r="CB177" i="27" s="1"/>
  <c r="CB173" i="27" a="1"/>
  <c r="CB173" i="27" s="1"/>
  <c r="CB169" i="27" a="1"/>
  <c r="CB169" i="27" s="1"/>
  <c r="CB165" i="27" a="1"/>
  <c r="CB165" i="27" s="1"/>
  <c r="CB159" i="27" a="1"/>
  <c r="CB159" i="27" s="1"/>
  <c r="BY157" i="27" a="1"/>
  <c r="BY157" i="27" s="1"/>
  <c r="BZ209" i="27" s="1" a="1"/>
  <c r="BZ209" i="27" s="1"/>
  <c r="CB154" i="27" a="1"/>
  <c r="CB154" i="27" s="1"/>
  <c r="BZ150" i="27" a="1"/>
  <c r="BZ150" i="27" s="1"/>
  <c r="CB147" i="27" a="1"/>
  <c r="CB147" i="27" s="1"/>
  <c r="CB145" i="27" a="1"/>
  <c r="CB145" i="27" s="1"/>
  <c r="CB140" i="27" a="1"/>
  <c r="CB140" i="27" s="1"/>
  <c r="CB138" i="27" a="1"/>
  <c r="CB138" i="27" s="1"/>
  <c r="CB136" i="27" a="1"/>
  <c r="CB136" i="27" s="1"/>
  <c r="CB134" i="27" a="1"/>
  <c r="CB134" i="27" s="1"/>
  <c r="CB132" i="27" a="1"/>
  <c r="CB132" i="27" s="1"/>
  <c r="CB130" i="27" a="1"/>
  <c r="CB130" i="27" s="1"/>
  <c r="CB128" i="27" a="1"/>
  <c r="CB128" i="27" s="1"/>
  <c r="CB126" i="27" a="1"/>
  <c r="CB126" i="27" s="1"/>
  <c r="CB124" i="27" a="1"/>
  <c r="CB124" i="27" s="1"/>
  <c r="CB122" i="27" a="1"/>
  <c r="CB122" i="27" s="1"/>
  <c r="CB120" i="27" a="1"/>
  <c r="CB120" i="27" s="1"/>
  <c r="CB118" i="27" a="1"/>
  <c r="CB118" i="27" s="1"/>
  <c r="CB116" i="27" a="1"/>
  <c r="CB116" i="27" s="1"/>
  <c r="CB114" i="27" a="1"/>
  <c r="CB114" i="27" s="1"/>
  <c r="CB112" i="27" a="1"/>
  <c r="CB112" i="27" s="1"/>
  <c r="CB110" i="27" a="1"/>
  <c r="CB110" i="27" s="1"/>
  <c r="CB108" i="27" a="1"/>
  <c r="CB108" i="27" s="1"/>
  <c r="CB106" i="27" a="1"/>
  <c r="CB106" i="27" s="1"/>
  <c r="BZ162" i="27" a="1"/>
  <c r="BZ162" i="27" s="1"/>
  <c r="CB156" i="27" a="1"/>
  <c r="CB156" i="27" s="1"/>
  <c r="BZ152" i="27" a="1"/>
  <c r="BZ152" i="27" s="1"/>
  <c r="CB149" i="27" a="1"/>
  <c r="CB149" i="27" s="1"/>
  <c r="CA140" i="27" a="1"/>
  <c r="CA140" i="27" s="1"/>
  <c r="CA138" i="27" a="1"/>
  <c r="CA138" i="27" s="1"/>
  <c r="BZ178" i="27" a="1"/>
  <c r="BZ178" i="27" s="1"/>
  <c r="BY163" i="27" a="1"/>
  <c r="BY163" i="27" s="1"/>
  <c r="BZ215" i="27" s="1" a="1"/>
  <c r="BZ215" i="27" s="1"/>
  <c r="CB152" i="27" a="1"/>
  <c r="CB152" i="27" s="1"/>
  <c r="BY144" i="27" a="1"/>
  <c r="BY144" i="27" s="1"/>
  <c r="BZ196" i="27" s="1" a="1"/>
  <c r="BZ196" i="27" s="1"/>
  <c r="CA134" i="27" a="1"/>
  <c r="CA134" i="27" s="1"/>
  <c r="BY129" i="27" a="1"/>
  <c r="BY129" i="27" s="1"/>
  <c r="CA219" i="27" s="1" a="1"/>
  <c r="CA219" i="27" s="1"/>
  <c r="BZ124" i="27" a="1"/>
  <c r="BZ124" i="27" s="1"/>
  <c r="CA118" i="27" a="1"/>
  <c r="CA118" i="27" s="1"/>
  <c r="BY113" i="27" a="1"/>
  <c r="BY113" i="27" s="1"/>
  <c r="CA203" i="27" s="1" a="1"/>
  <c r="CA203" i="27" s="1"/>
  <c r="BZ108" i="27" a="1"/>
  <c r="BZ108" i="27" s="1"/>
  <c r="BY119" i="27" a="1"/>
  <c r="BY119" i="27" s="1"/>
  <c r="CA209" i="27" s="1" a="1"/>
  <c r="CA209" i="27" s="1"/>
  <c r="CB161" i="27" a="1"/>
  <c r="CB161" i="27" s="1"/>
  <c r="CB151" i="27" a="1"/>
  <c r="CB151" i="27" s="1"/>
  <c r="BZ140" i="27" a="1"/>
  <c r="BZ140" i="27" s="1"/>
  <c r="BZ134" i="27" a="1"/>
  <c r="BZ134" i="27" s="1"/>
  <c r="CA128" i="27" a="1"/>
  <c r="CA128" i="27" s="1"/>
  <c r="BY123" i="27" a="1"/>
  <c r="BY123" i="27" s="1"/>
  <c r="CA213" i="27" s="1" a="1"/>
  <c r="CA213" i="27" s="1"/>
  <c r="BZ118" i="27" a="1"/>
  <c r="BZ118" i="27" s="1"/>
  <c r="CA112" i="27" a="1"/>
  <c r="CA112" i="27" s="1"/>
  <c r="BY107" i="27" a="1"/>
  <c r="BY107" i="27" s="1"/>
  <c r="CA197" i="27" s="1" a="1"/>
  <c r="CA197" i="27" s="1"/>
  <c r="BZ132" i="27" a="1"/>
  <c r="BZ132" i="27" s="1"/>
  <c r="BZ116" i="27" a="1"/>
  <c r="BZ116" i="27" s="1"/>
  <c r="BZ126" i="27" a="1"/>
  <c r="BZ126" i="27" s="1"/>
  <c r="BZ110" i="27" a="1"/>
  <c r="BZ110" i="27" s="1"/>
  <c r="BY155" i="27" a="1"/>
  <c r="BY155" i="27" s="1"/>
  <c r="BZ207" i="27" s="1" a="1"/>
  <c r="BZ207" i="27" s="1"/>
  <c r="CA130" i="27" a="1"/>
  <c r="CA130" i="27" s="1"/>
  <c r="CA114" i="27" a="1"/>
  <c r="CA114" i="27" s="1"/>
  <c r="BZ145" i="27" a="1"/>
  <c r="BZ145" i="27" s="1"/>
  <c r="CA124" i="27" a="1"/>
  <c r="CA124" i="27" s="1"/>
  <c r="BZ174" i="27" a="1"/>
  <c r="BZ174" i="27" s="1"/>
  <c r="BZ160" i="27" a="1"/>
  <c r="BZ160" i="27" s="1"/>
  <c r="BY139" i="27" a="1"/>
  <c r="BY139" i="27" s="1"/>
  <c r="BY133" i="27" a="1"/>
  <c r="BY133" i="27" s="1"/>
  <c r="CA223" i="27" s="1" a="1"/>
  <c r="CA223" i="27" s="1"/>
  <c r="BZ128" i="27" a="1"/>
  <c r="BZ128" i="27" s="1"/>
  <c r="CA122" i="27" a="1"/>
  <c r="CA122" i="27" s="1"/>
  <c r="BY117" i="27" a="1"/>
  <c r="BY117" i="27" s="1"/>
  <c r="CA207" i="27" s="1" a="1"/>
  <c r="CA207" i="27" s="1"/>
  <c r="BZ112" i="27" a="1"/>
  <c r="BZ112" i="27" s="1"/>
  <c r="CA106" i="27" a="1"/>
  <c r="CA106" i="27" s="1"/>
  <c r="BZ170" i="27" a="1"/>
  <c r="BZ170" i="27" s="1"/>
  <c r="BZ148" i="27" a="1"/>
  <c r="BZ148" i="27" s="1"/>
  <c r="CA126" i="27" a="1"/>
  <c r="CA126" i="27" s="1"/>
  <c r="CA110" i="27" a="1"/>
  <c r="CA110" i="27" s="1"/>
  <c r="BZ147" i="27" a="1"/>
  <c r="BZ147" i="27" s="1"/>
  <c r="BY131" i="27" a="1"/>
  <c r="BY131" i="27" s="1"/>
  <c r="CA221" i="27" s="1" a="1"/>
  <c r="CA221" i="27" s="1"/>
  <c r="BY115" i="27" a="1"/>
  <c r="BY115" i="27" s="1"/>
  <c r="CA205" i="27" s="1" a="1"/>
  <c r="CA205" i="27" s="1"/>
  <c r="BY146" i="27" a="1"/>
  <c r="BY146" i="27" s="1"/>
  <c r="BZ198" i="27" s="1" a="1"/>
  <c r="BZ198" i="27" s="1"/>
  <c r="BY125" i="27" a="1"/>
  <c r="BY125" i="27" s="1"/>
  <c r="CA215" i="27" s="1" a="1"/>
  <c r="CA215" i="27" s="1"/>
  <c r="BY109" i="27" a="1"/>
  <c r="BY109" i="27" s="1"/>
  <c r="CA199" i="27" s="1" a="1"/>
  <c r="CA199" i="27" s="1"/>
  <c r="BY165" i="27" a="1"/>
  <c r="BY165" i="27" s="1"/>
  <c r="BZ217" i="27" s="1" a="1"/>
  <c r="BZ217" i="27" s="1"/>
  <c r="BZ130" i="27" a="1"/>
  <c r="BZ130" i="27" s="1"/>
  <c r="CA108" i="27" a="1"/>
  <c r="CA108" i="27" s="1"/>
  <c r="BY159" i="27" a="1"/>
  <c r="BY159" i="27" s="1"/>
  <c r="BZ211" i="27" s="1" a="1"/>
  <c r="BZ211" i="27" s="1"/>
  <c r="BZ138" i="27" a="1"/>
  <c r="BZ138" i="27" s="1"/>
  <c r="CA132" i="27" a="1"/>
  <c r="CA132" i="27" s="1"/>
  <c r="BY127" i="27" a="1"/>
  <c r="BY127" i="27" s="1"/>
  <c r="BZ122" i="27" a="1"/>
  <c r="BZ122" i="27" s="1"/>
  <c r="CA116" i="27" a="1"/>
  <c r="CA116" i="27" s="1"/>
  <c r="BY111" i="27" a="1"/>
  <c r="BY111" i="27" s="1"/>
  <c r="CA201" i="27" s="1" a="1"/>
  <c r="CA201" i="27" s="1"/>
  <c r="BZ106" i="27" a="1"/>
  <c r="BZ106" i="27" s="1"/>
  <c r="BY137" i="27" a="1"/>
  <c r="BY137" i="27" s="1"/>
  <c r="CA227" i="27" s="1" a="1"/>
  <c r="CA227" i="27" s="1"/>
  <c r="BY121" i="27" a="1"/>
  <c r="BY121" i="27" s="1"/>
  <c r="CA211" i="27" s="1" a="1"/>
  <c r="CA211" i="27" s="1"/>
  <c r="CA136" i="27" a="1"/>
  <c r="CA136" i="27" s="1"/>
  <c r="CA120" i="27" a="1"/>
  <c r="CA120" i="27" s="1"/>
  <c r="BZ166" i="27" a="1"/>
  <c r="BZ166" i="27" s="1"/>
  <c r="BZ136" i="27" a="1"/>
  <c r="BZ136" i="27" s="1"/>
  <c r="BZ120" i="27" a="1"/>
  <c r="BZ120" i="27" s="1"/>
  <c r="BZ154" i="27" a="1"/>
  <c r="BZ154" i="27" s="1"/>
  <c r="BY135" i="27" a="1"/>
  <c r="BY135" i="27" s="1"/>
  <c r="CA225" i="27" s="1" a="1"/>
  <c r="CA225" i="27" s="1"/>
  <c r="BZ114" i="27" a="1"/>
  <c r="BZ114" i="27" s="1"/>
  <c r="BP110" i="27" a="1"/>
  <c r="BP110" i="27" s="1"/>
  <c r="BS110" i="27" a="1"/>
  <c r="BS110" i="27" s="1"/>
  <c r="BR110" i="27" a="1"/>
  <c r="BR110" i="27" s="1"/>
  <c r="BO110" i="27" a="1"/>
  <c r="BO110" i="27" s="1"/>
  <c r="BN110" i="27" a="1"/>
  <c r="BN110" i="27" s="1"/>
  <c r="BQ110" i="27" a="1"/>
  <c r="BQ110" i="27" s="1"/>
  <c r="BT110" i="27" a="1"/>
  <c r="BT110" i="27" s="1"/>
  <c r="AC95" i="27"/>
  <c r="AD97" i="27"/>
  <c r="AA94" i="27"/>
  <c r="AC96" i="27"/>
  <c r="AD98" i="27"/>
  <c r="AA95" i="27"/>
  <c r="AC97" i="27"/>
  <c r="AD99" i="27"/>
  <c r="AA96" i="27"/>
  <c r="AC98" i="27"/>
  <c r="AC99" i="27"/>
  <c r="BY217" i="27" l="1" a="1"/>
  <c r="BY217" i="27" s="1"/>
  <c r="BY204" i="27" a="1"/>
  <c r="BY204" i="27" s="1"/>
  <c r="BY224" i="27" a="1"/>
  <c r="BY224" i="27" s="1"/>
  <c r="BY221" i="27" a="1"/>
  <c r="BY221" i="27" s="1"/>
  <c r="BY207" i="27" a="1"/>
  <c r="BY207" i="27" s="1"/>
  <c r="BY210" i="27" a="1"/>
  <c r="BY210" i="27" s="1"/>
  <c r="BY220" i="27" a="1"/>
  <c r="BY220" i="27" s="1"/>
  <c r="BY201" i="27" a="1"/>
  <c r="BY201" i="27" s="1"/>
  <c r="BY206" i="27" a="1"/>
  <c r="BY206" i="27" s="1"/>
  <c r="BY222" i="27" a="1"/>
  <c r="BY222" i="27" s="1"/>
  <c r="BY203" i="27" a="1"/>
  <c r="BY203" i="27" s="1"/>
  <c r="BY219" i="27" a="1"/>
  <c r="BY219" i="27" s="1"/>
  <c r="BY208" i="27" a="1"/>
  <c r="BY208" i="27" s="1"/>
  <c r="BY205" i="27" a="1"/>
  <c r="BY205" i="27" s="1"/>
  <c r="BY226" i="27" a="1"/>
  <c r="BY226" i="27" s="1"/>
  <c r="BY196" i="27" a="1"/>
  <c r="BY196" i="27" s="1"/>
  <c r="BY209" i="27" a="1"/>
  <c r="BY209" i="27" s="1"/>
  <c r="BY198" i="27" a="1"/>
  <c r="BY198" i="27" s="1"/>
  <c r="BY214" i="27" a="1"/>
  <c r="BY214" i="27" s="1"/>
  <c r="BY211" i="27" a="1"/>
  <c r="BY211" i="27" s="1"/>
  <c r="BY227" i="27" a="1"/>
  <c r="BY227" i="27" s="1"/>
  <c r="BY228" i="27" a="1"/>
  <c r="BY228" i="27" s="1"/>
  <c r="BY225" i="27" a="1"/>
  <c r="BY225" i="27" s="1"/>
  <c r="BY200" i="27" a="1"/>
  <c r="BY200" i="27" s="1"/>
  <c r="BY216" i="27" a="1"/>
  <c r="BY216" i="27" s="1"/>
  <c r="BY197" i="27" a="1"/>
  <c r="BY197" i="27" s="1"/>
  <c r="BY213" i="27" a="1"/>
  <c r="BY213" i="27" s="1"/>
  <c r="BY223" i="27" a="1"/>
  <c r="BY223" i="27" s="1"/>
  <c r="BY212" i="27" a="1"/>
  <c r="BY212" i="27" s="1"/>
  <c r="BY202" i="27" a="1"/>
  <c r="BY202" i="27" s="1"/>
  <c r="BY218" i="27" a="1"/>
  <c r="BY218" i="27" s="1"/>
  <c r="BY199" i="27" a="1"/>
  <c r="BY199" i="27" s="1"/>
  <c r="BY215" i="27" a="1"/>
  <c r="BY215" i="27" s="1"/>
  <c r="CC159" i="27"/>
  <c r="CC144" i="27"/>
  <c r="CC165" i="27"/>
  <c r="CC151" i="27"/>
  <c r="CC161" i="27"/>
  <c r="CC152" i="27"/>
  <c r="CC169" i="27"/>
  <c r="CC154" i="27"/>
  <c r="CC170" i="27"/>
  <c r="CC157" i="27"/>
  <c r="CC171" i="27"/>
  <c r="CC145" i="27"/>
  <c r="CC160" i="27"/>
  <c r="CC149" i="27"/>
  <c r="CC155" i="27"/>
  <c r="CC163" i="27"/>
  <c r="CC156" i="27"/>
  <c r="CC172" i="27"/>
  <c r="CC173" i="27"/>
  <c r="CC146" i="27"/>
  <c r="CC147" i="27"/>
  <c r="CC158" i="27"/>
  <c r="CC174" i="27"/>
  <c r="CC175" i="27"/>
  <c r="CC168" i="27"/>
  <c r="CC176" i="27"/>
  <c r="CC177" i="27"/>
  <c r="CC153" i="27"/>
  <c r="CC162" i="27"/>
  <c r="CC178" i="27"/>
  <c r="CC148" i="27"/>
  <c r="CC164" i="27"/>
  <c r="CC150" i="27"/>
  <c r="CC166" i="27"/>
  <c r="CC167" i="27"/>
  <c r="BI278" i="27" a="1"/>
  <c r="BI278" i="27" s="1"/>
  <c r="BD278" i="27" a="1"/>
  <c r="BD278" i="27" s="1"/>
  <c r="BH278" i="27" a="1"/>
  <c r="BH278" i="27" s="1"/>
  <c r="BG278" i="27" a="1"/>
  <c r="BG278" i="27" s="1"/>
  <c r="BC278" i="27" a="1"/>
  <c r="BC278" i="27" s="1"/>
  <c r="BF278" i="27" a="1"/>
  <c r="BF278" i="27" s="1"/>
  <c r="BE278" i="27" a="1"/>
  <c r="BE278" i="27" s="1"/>
  <c r="CB182" i="27" a="1"/>
  <c r="CB182" i="27" s="1"/>
  <c r="BY189" i="27"/>
  <c r="BZ182" i="27" a="1"/>
  <c r="BZ182" i="27" s="1"/>
  <c r="CE182" i="27" a="1"/>
  <c r="CE182" i="27" s="1"/>
  <c r="CC182" i="27" a="1"/>
  <c r="CC182" i="27" s="1"/>
  <c r="CA182" i="27" a="1"/>
  <c r="CA182" i="27" s="1"/>
  <c r="BY182" i="27" a="1"/>
  <c r="BY182" i="27" s="1"/>
  <c r="BY188" i="27"/>
  <c r="BY191" i="27"/>
  <c r="BY187" i="27"/>
  <c r="CF182" i="27" a="1"/>
  <c r="CF182" i="27" s="1"/>
  <c r="CD182" i="27" a="1"/>
  <c r="CD182" i="27" s="1"/>
  <c r="BH334" i="27"/>
  <c r="BC333" i="27"/>
  <c r="BH336" i="27"/>
  <c r="CC131" i="27"/>
  <c r="BD333" i="27"/>
  <c r="CC132" i="27"/>
  <c r="BH333" i="27"/>
  <c r="CC108" i="27"/>
  <c r="CC116" i="27"/>
  <c r="CC140" i="27"/>
  <c r="BC334" i="27"/>
  <c r="CC106" i="27"/>
  <c r="BD332" i="27"/>
  <c r="BD334" i="27"/>
  <c r="CC138" i="27"/>
  <c r="BC336" i="27"/>
  <c r="BC332" i="27"/>
  <c r="BD336" i="27"/>
  <c r="CC121" i="27"/>
  <c r="CC126" i="27"/>
  <c r="CC134" i="27"/>
  <c r="CC115" i="27" l="1"/>
  <c r="CC135" i="27"/>
  <c r="CC107" i="27"/>
  <c r="CC110" i="27"/>
  <c r="CC118" i="27"/>
  <c r="CC122" i="27"/>
  <c r="CC123" i="27"/>
  <c r="CC114" i="27"/>
  <c r="CC130" i="27"/>
  <c r="CC129" i="27"/>
  <c r="CC125" i="27"/>
  <c r="CC112" i="27"/>
  <c r="CC124" i="27"/>
  <c r="CC119" i="27"/>
  <c r="CC120" i="27"/>
  <c r="CC109" i="27"/>
  <c r="CC137" i="27"/>
  <c r="CC113" i="27"/>
  <c r="CC128" i="27"/>
  <c r="CC133" i="27"/>
  <c r="CC127" i="27"/>
  <c r="CC136" i="27"/>
  <c r="CC111" i="27"/>
  <c r="CC139" i="27"/>
  <c r="CG182" i="27"/>
  <c r="BY192" i="27"/>
  <c r="CA217" i="27" s="1" a="1"/>
  <c r="CA217" i="27" s="1"/>
  <c r="BG15" i="27" l="1"/>
  <c r="M26" i="51"/>
  <c r="AY38" i="27"/>
  <c r="AX38" i="27"/>
  <c r="AW38" i="27"/>
  <c r="AV38" i="27"/>
  <c r="AU38" i="27"/>
  <c r="AT38" i="27"/>
  <c r="AS38" i="27"/>
  <c r="AR38" i="27"/>
  <c r="AQ38" i="27"/>
  <c r="AP38" i="27"/>
  <c r="AO38" i="27"/>
  <c r="AR9" i="27"/>
  <c r="AV9" i="27"/>
  <c r="AU9" i="27"/>
  <c r="AY9" i="27"/>
  <c r="AX9" i="27"/>
  <c r="AW9" i="27"/>
  <c r="AT9" i="27"/>
  <c r="AS9" i="27"/>
  <c r="AP9" i="27"/>
  <c r="AQ9" i="27"/>
  <c r="AO9" i="27"/>
  <c r="J32" i="48" l="1"/>
  <c r="M12" i="48"/>
  <c r="W103" i="27" l="1"/>
  <c r="E269" i="48" s="1"/>
  <c r="V103" i="27"/>
  <c r="E255" i="48" s="1"/>
  <c r="U103" i="27"/>
  <c r="E241" i="48" s="1"/>
  <c r="T103" i="27"/>
  <c r="E227" i="48" s="1"/>
  <c r="S103" i="27"/>
  <c r="E40" i="48" s="1"/>
  <c r="R103" i="27"/>
  <c r="Q103" i="27"/>
  <c r="W101" i="27"/>
  <c r="E267" i="48" s="1"/>
  <c r="V101" i="27"/>
  <c r="E253" i="48" s="1"/>
  <c r="U101" i="27"/>
  <c r="E239" i="48" s="1"/>
  <c r="T101" i="27"/>
  <c r="E225" i="48" s="1"/>
  <c r="S101" i="27"/>
  <c r="E38" i="48" s="1"/>
  <c r="R101" i="27"/>
  <c r="Q101" i="27"/>
  <c r="P101" i="27"/>
  <c r="G18" i="48" s="1"/>
  <c r="W99" i="27"/>
  <c r="V99" i="27"/>
  <c r="U99" i="27"/>
  <c r="T99" i="27"/>
  <c r="E223" i="48" s="1"/>
  <c r="S99" i="27"/>
  <c r="E36" i="48" s="1"/>
  <c r="R99" i="27"/>
  <c r="Q99" i="27"/>
  <c r="P99" i="27"/>
  <c r="G16" i="48" s="1"/>
  <c r="W97" i="27"/>
  <c r="V97" i="27"/>
  <c r="U97" i="27"/>
  <c r="T97" i="27"/>
  <c r="E221" i="48" s="1"/>
  <c r="S97" i="27"/>
  <c r="E34" i="48" s="1"/>
  <c r="R97" i="27"/>
  <c r="Q97" i="27"/>
  <c r="P97" i="27"/>
  <c r="G14" i="48" s="1"/>
  <c r="W95" i="27"/>
  <c r="V95" i="27"/>
  <c r="U95" i="27"/>
  <c r="T95" i="27"/>
  <c r="E219" i="48" s="1"/>
  <c r="S95" i="27"/>
  <c r="E32" i="48" s="1"/>
  <c r="R95" i="27"/>
  <c r="E49" i="48" s="1"/>
  <c r="Q95" i="27"/>
  <c r="G203" i="48" s="1"/>
  <c r="P95" i="27"/>
  <c r="G12" i="48" s="1"/>
  <c r="W93" i="27"/>
  <c r="V93" i="27"/>
  <c r="U93" i="27"/>
  <c r="T93" i="27"/>
  <c r="E217" i="48" s="1"/>
  <c r="S93" i="27"/>
  <c r="E30" i="48" s="1"/>
  <c r="R93" i="27"/>
  <c r="E47" i="48" s="1"/>
  <c r="Q93" i="27"/>
  <c r="G201" i="48" s="1"/>
  <c r="P93" i="27"/>
  <c r="G10" i="48" s="1"/>
  <c r="P92" i="27"/>
  <c r="G9" i="48" s="1"/>
  <c r="Q92" i="27"/>
  <c r="G200" i="48" s="1"/>
  <c r="R92" i="27"/>
  <c r="E46" i="48" s="1"/>
  <c r="S92" i="27"/>
  <c r="E29" i="48" s="1"/>
  <c r="T92" i="27"/>
  <c r="E216" i="48" s="1"/>
  <c r="U92" i="27"/>
  <c r="V92" i="27"/>
  <c r="W92" i="27"/>
  <c r="P103" i="27"/>
  <c r="G20" i="48" s="1"/>
  <c r="W104" i="27"/>
  <c r="E270" i="48" s="1"/>
  <c r="V104" i="27"/>
  <c r="E256" i="48" s="1"/>
  <c r="U104" i="27"/>
  <c r="E242" i="48" s="1"/>
  <c r="T104" i="27"/>
  <c r="E228" i="48" s="1"/>
  <c r="S104" i="27"/>
  <c r="E41" i="48" s="1"/>
  <c r="R104" i="27"/>
  <c r="Q104" i="27"/>
  <c r="P104" i="27"/>
  <c r="G21" i="48" s="1"/>
  <c r="W102" i="27"/>
  <c r="E268" i="48" s="1"/>
  <c r="V102" i="27"/>
  <c r="E254" i="48" s="1"/>
  <c r="U102" i="27"/>
  <c r="E240" i="48" s="1"/>
  <c r="T102" i="27"/>
  <c r="E226" i="48" s="1"/>
  <c r="S102" i="27"/>
  <c r="E39" i="48" s="1"/>
  <c r="R102" i="27"/>
  <c r="Q102" i="27"/>
  <c r="P102" i="27"/>
  <c r="G19" i="48" s="1"/>
  <c r="W100" i="27"/>
  <c r="V100" i="27"/>
  <c r="U100" i="27"/>
  <c r="T100" i="27"/>
  <c r="E224" i="48" s="1"/>
  <c r="S100" i="27"/>
  <c r="E37" i="48" s="1"/>
  <c r="R100" i="27"/>
  <c r="Q100" i="27"/>
  <c r="P100" i="27"/>
  <c r="G17" i="48" s="1"/>
  <c r="W98" i="27"/>
  <c r="V98" i="27"/>
  <c r="U98" i="27"/>
  <c r="T98" i="27"/>
  <c r="E222" i="48" s="1"/>
  <c r="S98" i="27"/>
  <c r="E35" i="48" s="1"/>
  <c r="R98" i="27"/>
  <c r="Q98" i="27"/>
  <c r="P98" i="27"/>
  <c r="G15" i="48" s="1"/>
  <c r="W96" i="27"/>
  <c r="V96" i="27"/>
  <c r="U96" i="27"/>
  <c r="T96" i="27"/>
  <c r="E220" i="48" s="1"/>
  <c r="S96" i="27"/>
  <c r="E33" i="48" s="1"/>
  <c r="R96" i="27"/>
  <c r="E50" i="48" s="1"/>
  <c r="Q96" i="27"/>
  <c r="G204" i="48" s="1"/>
  <c r="P96" i="27"/>
  <c r="G13" i="48" s="1"/>
  <c r="W94" i="27"/>
  <c r="V94" i="27"/>
  <c r="U94" i="27"/>
  <c r="T94" i="27"/>
  <c r="E218" i="48" s="1"/>
  <c r="S94" i="27"/>
  <c r="E31" i="48" s="1"/>
  <c r="R94" i="27"/>
  <c r="E48" i="48" s="1"/>
  <c r="Q94" i="27"/>
  <c r="G202" i="48" s="1"/>
  <c r="P94" i="27"/>
  <c r="G11" i="48" s="1"/>
  <c r="P91" i="27"/>
  <c r="Q91" i="27"/>
  <c r="G199" i="48" s="1"/>
  <c r="R91" i="27"/>
  <c r="S91" i="27"/>
  <c r="E28" i="48" s="1"/>
  <c r="T91" i="27"/>
  <c r="E215" i="48" s="1"/>
  <c r="U91" i="27"/>
  <c r="V91" i="27"/>
  <c r="W91" i="27"/>
  <c r="BI327" i="27" a="1"/>
  <c r="BI327" i="27" s="1"/>
  <c r="BH327" i="27" a="1"/>
  <c r="BH327" i="27" s="1"/>
  <c r="BG327" i="27" a="1"/>
  <c r="BG327" i="27" s="1"/>
  <c r="BF327" i="27" a="1"/>
  <c r="BF327" i="27" s="1"/>
  <c r="BE327" i="27" a="1"/>
  <c r="BE327" i="27" s="1"/>
  <c r="E36" i="51" s="1"/>
  <c r="BD327" i="27" a="1"/>
  <c r="BD327" i="27" s="1"/>
  <c r="D36" i="51" s="1"/>
  <c r="BC327" i="27" a="1"/>
  <c r="BC327" i="27" s="1"/>
  <c r="C36" i="51" s="1"/>
  <c r="G8" i="48" l="1"/>
  <c r="E249" i="48"/>
  <c r="E235" i="48"/>
  <c r="E265" i="48"/>
  <c r="E52" i="48"/>
  <c r="E238" i="48"/>
  <c r="E252" i="48"/>
  <c r="G206" i="48"/>
  <c r="E266" i="48"/>
  <c r="E237" i="48"/>
  <c r="E264" i="48"/>
  <c r="E251" i="48"/>
  <c r="E236" i="48"/>
  <c r="E263" i="48"/>
  <c r="E51" i="48"/>
  <c r="E45" i="48"/>
  <c r="E250" i="48"/>
  <c r="G205" i="48"/>
  <c r="CC117" i="27" l="1"/>
  <c r="J264" i="48"/>
  <c r="J250" i="48"/>
  <c r="J236" i="48"/>
  <c r="M264" i="48"/>
  <c r="M250" i="48"/>
  <c r="M236" i="48"/>
  <c r="A262" i="48" l="1"/>
  <c r="A248" i="48"/>
  <c r="A234" i="48"/>
  <c r="A214" i="48"/>
  <c r="A198" i="48"/>
  <c r="A185" i="48"/>
  <c r="A169" i="48"/>
  <c r="A153" i="48"/>
  <c r="A137" i="48"/>
  <c r="A117" i="48"/>
  <c r="A98" i="48"/>
  <c r="A79" i="48"/>
  <c r="A60" i="48"/>
  <c r="A44" i="48"/>
  <c r="A27" i="48"/>
  <c r="A7" i="48"/>
  <c r="F21" i="48" l="1"/>
  <c r="F20" i="48"/>
  <c r="F19" i="48"/>
  <c r="F18" i="48"/>
  <c r="F17" i="48"/>
  <c r="F16" i="48"/>
  <c r="F15" i="48"/>
  <c r="F14" i="48"/>
  <c r="F13" i="48"/>
  <c r="F12" i="48"/>
  <c r="F11" i="48"/>
  <c r="F10" i="48"/>
  <c r="F9" i="48"/>
  <c r="F8" i="48"/>
  <c r="L271" i="48" l="1"/>
  <c r="N50" i="51" s="1"/>
  <c r="L257" i="48"/>
  <c r="N49" i="51" s="1"/>
  <c r="L243" i="48"/>
  <c r="N48" i="51" s="1"/>
  <c r="BD337" i="27" l="1"/>
  <c r="L272" i="48" l="1"/>
  <c r="L258" i="48"/>
  <c r="L244" i="48"/>
  <c r="L227" i="48" l="1"/>
  <c r="L166" i="48" l="1"/>
  <c r="L165" i="48"/>
  <c r="N46" i="51" s="1"/>
  <c r="L150" i="48"/>
  <c r="L149" i="48"/>
  <c r="N45" i="51" s="1"/>
  <c r="L134" i="48"/>
  <c r="L133" i="48"/>
  <c r="N43" i="51" s="1"/>
  <c r="L114" i="48"/>
  <c r="L113" i="48"/>
  <c r="N42" i="51" s="1"/>
  <c r="L95" i="48"/>
  <c r="L94" i="48"/>
  <c r="N41" i="51" s="1"/>
  <c r="L76" i="48"/>
  <c r="L75" i="48"/>
  <c r="N39" i="51" s="1"/>
  <c r="L57" i="48"/>
  <c r="L36" i="48"/>
  <c r="L56" i="48"/>
  <c r="N40" i="51" s="1"/>
  <c r="L26" i="51" l="1"/>
  <c r="B183" i="27" l="1"/>
  <c r="B182" i="27"/>
  <c r="B181" i="27"/>
  <c r="B180" i="27"/>
  <c r="B129" i="27"/>
  <c r="B128" i="27"/>
  <c r="B127" i="27"/>
  <c r="B126" i="27"/>
  <c r="B125" i="27"/>
  <c r="B124" i="27"/>
  <c r="B123" i="27"/>
  <c r="B122" i="27"/>
  <c r="B121" i="27"/>
  <c r="B120" i="27"/>
  <c r="B119" i="27"/>
  <c r="B118" i="27"/>
  <c r="B117" i="27"/>
  <c r="B116" i="27"/>
  <c r="B115" i="27"/>
  <c r="B114" i="27"/>
  <c r="B113" i="27"/>
  <c r="B112" i="27"/>
  <c r="B111" i="27"/>
  <c r="B110" i="27"/>
  <c r="B109" i="27"/>
  <c r="B108" i="27"/>
  <c r="B107" i="27"/>
  <c r="B106" i="27"/>
  <c r="B105" i="27"/>
  <c r="B104" i="27"/>
  <c r="B103" i="27"/>
  <c r="B102" i="27"/>
  <c r="B101" i="27"/>
  <c r="B100" i="27"/>
  <c r="B99" i="27"/>
  <c r="B98" i="27"/>
  <c r="B97" i="27"/>
  <c r="B96" i="27"/>
  <c r="B95" i="27"/>
  <c r="B94" i="27"/>
  <c r="B93" i="27"/>
  <c r="B92" i="27"/>
  <c r="B91" i="27"/>
  <c r="B90" i="27"/>
  <c r="B89" i="27"/>
  <c r="B88" i="27"/>
  <c r="B87" i="27"/>
  <c r="B86" i="27"/>
  <c r="B85" i="27"/>
  <c r="B84" i="27"/>
  <c r="B83" i="27"/>
  <c r="B82" i="27"/>
  <c r="B81" i="27"/>
  <c r="B80" i="27"/>
  <c r="B79" i="27"/>
  <c r="B78" i="27"/>
  <c r="B77" i="27"/>
  <c r="B76" i="27"/>
  <c r="B75" i="27"/>
  <c r="B74" i="27"/>
  <c r="B73" i="27"/>
  <c r="B72" i="27"/>
  <c r="B71" i="27"/>
  <c r="B70" i="27"/>
  <c r="B69" i="27"/>
  <c r="B68" i="27"/>
  <c r="B67" i="27"/>
  <c r="B66" i="27"/>
  <c r="B65" i="27"/>
  <c r="B64" i="27"/>
  <c r="B63" i="27"/>
  <c r="B62" i="27"/>
  <c r="BI317" i="27" l="1" a="1"/>
  <c r="BI317" i="27" s="1"/>
  <c r="BI311" i="27" a="1"/>
  <c r="BI311" i="27" s="1"/>
  <c r="BI306" i="27" a="1"/>
  <c r="BI306" i="27" s="1"/>
  <c r="BI300" i="27" a="1"/>
  <c r="BI300" i="27" s="1"/>
  <c r="BI289" i="27" a="1"/>
  <c r="BI289" i="27" s="1"/>
  <c r="BI319" i="27" a="1"/>
  <c r="BI319" i="27" s="1"/>
  <c r="BI310" i="27" a="1"/>
  <c r="BI310" i="27" s="1"/>
  <c r="BI323" i="27" a="1"/>
  <c r="BI323" i="27" s="1"/>
  <c r="BI303" i="27" a="1"/>
  <c r="BI303" i="27" s="1"/>
  <c r="BI293" i="27" a="1"/>
  <c r="BI293" i="27" s="1"/>
  <c r="BI316" i="27" a="1"/>
  <c r="BI316" i="27" s="1"/>
  <c r="BI305" i="27" a="1"/>
  <c r="BI305" i="27" s="1"/>
  <c r="BI299" i="27" a="1"/>
  <c r="BI299" i="27" s="1"/>
  <c r="BI294" i="27" a="1"/>
  <c r="BI294" i="27" s="1"/>
  <c r="BI288" i="27" a="1"/>
  <c r="BI288" i="27" s="1"/>
  <c r="BI318" i="27" a="1"/>
  <c r="BI318" i="27" s="1"/>
  <c r="BI304" i="27" a="1"/>
  <c r="BI304" i="27" s="1"/>
  <c r="BI298" i="27" a="1"/>
  <c r="BI298" i="27" s="1"/>
  <c r="BI313" i="27" a="1"/>
  <c r="BI313" i="27" s="1"/>
  <c r="BI307" i="27" a="1"/>
  <c r="BI307" i="27" s="1"/>
  <c r="BI296" i="27" a="1"/>
  <c r="BI296" i="27" s="1"/>
  <c r="BI284" i="27" a="1"/>
  <c r="BI284" i="27" s="1"/>
  <c r="BI322" i="27" a="1"/>
  <c r="BI322" i="27" s="1"/>
  <c r="BI309" i="27" a="1"/>
  <c r="BI309" i="27" s="1"/>
  <c r="BI286" i="27" a="1"/>
  <c r="BI286" i="27" s="1"/>
  <c r="BI308" i="27" a="1"/>
  <c r="BI308" i="27" s="1"/>
  <c r="BI302" i="27" a="1"/>
  <c r="BI302" i="27" s="1"/>
  <c r="BI297" i="27" a="1"/>
  <c r="BI297" i="27" s="1"/>
  <c r="BI291" i="27" a="1"/>
  <c r="BI291" i="27" s="1"/>
  <c r="BI285" i="27" a="1"/>
  <c r="BI285" i="27" s="1"/>
  <c r="BI321" i="27" a="1"/>
  <c r="BI321" i="27" s="1"/>
  <c r="BI312" i="27" a="1"/>
  <c r="BI312" i="27" s="1"/>
  <c r="BI301" i="27" a="1"/>
  <c r="BI301" i="27" s="1"/>
  <c r="BI295" i="27" a="1"/>
  <c r="BI295" i="27" s="1"/>
  <c r="BI290" i="27" a="1"/>
  <c r="BI290" i="27" s="1"/>
  <c r="BI320" i="27" a="1"/>
  <c r="BI320" i="27" s="1"/>
  <c r="BI315" i="27" a="1"/>
  <c r="BI315" i="27" s="1"/>
  <c r="BI287" i="27" a="1"/>
  <c r="BI287" i="27" s="1"/>
  <c r="BI314" i="27" a="1"/>
  <c r="BI314" i="27" s="1"/>
  <c r="BI292" i="27" a="1"/>
  <c r="BI292" i="27" s="1"/>
  <c r="BH323" i="27" a="1"/>
  <c r="BH323" i="27" s="1"/>
  <c r="BH315" i="27" a="1"/>
  <c r="BH315" i="27" s="1"/>
  <c r="BH307" i="27" a="1"/>
  <c r="BH307" i="27" s="1"/>
  <c r="BH299" i="27" a="1"/>
  <c r="BH299" i="27" s="1"/>
  <c r="BH291" i="27" a="1"/>
  <c r="BH291" i="27" s="1"/>
  <c r="BG323" i="27" a="1"/>
  <c r="BG323" i="27" s="1"/>
  <c r="BG315" i="27" a="1"/>
  <c r="BG315" i="27" s="1"/>
  <c r="BG307" i="27" a="1"/>
  <c r="BG307" i="27" s="1"/>
  <c r="BG299" i="27" a="1"/>
  <c r="BG299" i="27" s="1"/>
  <c r="BG291" i="27" a="1"/>
  <c r="BG291" i="27" s="1"/>
  <c r="BF323" i="27" a="1"/>
  <c r="BF323" i="27" s="1"/>
  <c r="BF317" i="27" a="1"/>
  <c r="BF317" i="27" s="1"/>
  <c r="BF304" i="27" a="1"/>
  <c r="BF304" i="27" s="1"/>
  <c r="BF297" i="27" a="1"/>
  <c r="BF297" i="27" s="1"/>
  <c r="BF289" i="27" a="1"/>
  <c r="BF289" i="27" s="1"/>
  <c r="BE321" i="27" a="1"/>
  <c r="BE321" i="27" s="1"/>
  <c r="BE313" i="27" a="1"/>
  <c r="BE313" i="27" s="1"/>
  <c r="BE305" i="27" a="1"/>
  <c r="BE305" i="27" s="1"/>
  <c r="BE297" i="27" a="1"/>
  <c r="BE297" i="27" s="1"/>
  <c r="BE289" i="27" a="1"/>
  <c r="BE289" i="27" s="1"/>
  <c r="BD322" i="27" a="1"/>
  <c r="BD322" i="27" s="1"/>
  <c r="BD315" i="27" a="1"/>
  <c r="BD315" i="27" s="1"/>
  <c r="BD309" i="27" a="1"/>
  <c r="BD309" i="27" s="1"/>
  <c r="BD295" i="27" a="1"/>
  <c r="BD295" i="27" s="1"/>
  <c r="BD287" i="27" a="1"/>
  <c r="BD287" i="27" s="1"/>
  <c r="BC319" i="27" a="1"/>
  <c r="BC319" i="27" s="1"/>
  <c r="BC311" i="27" a="1"/>
  <c r="BC311" i="27" s="1"/>
  <c r="BC303" i="27" a="1"/>
  <c r="BC303" i="27" s="1"/>
  <c r="BC295" i="27" a="1"/>
  <c r="BC295" i="27" s="1"/>
  <c r="BC287" i="27" a="1"/>
  <c r="BC287" i="27" s="1"/>
  <c r="BH322" i="27" a="1"/>
  <c r="BH322" i="27" s="1"/>
  <c r="BH314" i="27" a="1"/>
  <c r="BH314" i="27" s="1"/>
  <c r="BH306" i="27" a="1"/>
  <c r="BH306" i="27" s="1"/>
  <c r="BH298" i="27" a="1"/>
  <c r="BH298" i="27" s="1"/>
  <c r="BH290" i="27" a="1"/>
  <c r="BH290" i="27" s="1"/>
  <c r="BG322" i="27" a="1"/>
  <c r="BG322" i="27" s="1"/>
  <c r="BG314" i="27" a="1"/>
  <c r="BG314" i="27" s="1"/>
  <c r="BG306" i="27" a="1"/>
  <c r="BG306" i="27" s="1"/>
  <c r="BG298" i="27" a="1"/>
  <c r="BG298" i="27" s="1"/>
  <c r="BG290" i="27" a="1"/>
  <c r="BG290" i="27" s="1"/>
  <c r="BF316" i="27" a="1"/>
  <c r="BF316" i="27" s="1"/>
  <c r="BF310" i="27" a="1"/>
  <c r="BF310" i="27" s="1"/>
  <c r="BF303" i="27" a="1"/>
  <c r="BF303" i="27" s="1"/>
  <c r="BF296" i="27" a="1"/>
  <c r="BF296" i="27" s="1"/>
  <c r="BF288" i="27" a="1"/>
  <c r="BF288" i="27" s="1"/>
  <c r="BE320" i="27" a="1"/>
  <c r="BE320" i="27" s="1"/>
  <c r="BE312" i="27" a="1"/>
  <c r="BE312" i="27" s="1"/>
  <c r="BE304" i="27" a="1"/>
  <c r="BE304" i="27" s="1"/>
  <c r="BE296" i="27" a="1"/>
  <c r="BE296" i="27" s="1"/>
  <c r="BE288" i="27" a="1"/>
  <c r="BE288" i="27" s="1"/>
  <c r="BD321" i="27" a="1"/>
  <c r="BD321" i="27" s="1"/>
  <c r="BH321" i="27" a="1"/>
  <c r="BH321" i="27" s="1"/>
  <c r="BH313" i="27" a="1"/>
  <c r="BH313" i="27" s="1"/>
  <c r="BH305" i="27" a="1"/>
  <c r="BH305" i="27" s="1"/>
  <c r="BH297" i="27" a="1"/>
  <c r="BH297" i="27" s="1"/>
  <c r="BH289" i="27" a="1"/>
  <c r="BH289" i="27" s="1"/>
  <c r="BG321" i="27" a="1"/>
  <c r="BG321" i="27" s="1"/>
  <c r="BG313" i="27" a="1"/>
  <c r="BG313" i="27" s="1"/>
  <c r="BG305" i="27" a="1"/>
  <c r="BG305" i="27" s="1"/>
  <c r="BG297" i="27" a="1"/>
  <c r="BG297" i="27" s="1"/>
  <c r="BG289" i="27" a="1"/>
  <c r="BG289" i="27" s="1"/>
  <c r="BF322" i="27" a="1"/>
  <c r="BF322" i="27" s="1"/>
  <c r="BF315" i="27" a="1"/>
  <c r="BF315" i="27" s="1"/>
  <c r="BF309" i="27" a="1"/>
  <c r="BF309" i="27" s="1"/>
  <c r="BF295" i="27" a="1"/>
  <c r="BF295" i="27" s="1"/>
  <c r="BF287" i="27" a="1"/>
  <c r="BF287" i="27" s="1"/>
  <c r="BE319" i="27" a="1"/>
  <c r="BE319" i="27" s="1"/>
  <c r="BE311" i="27" a="1"/>
  <c r="BE311" i="27" s="1"/>
  <c r="BE303" i="27" a="1"/>
  <c r="BE303" i="27" s="1"/>
  <c r="BE295" i="27" a="1"/>
  <c r="BE295" i="27" s="1"/>
  <c r="BE287" i="27" a="1"/>
  <c r="BE287" i="27" s="1"/>
  <c r="BD320" i="27" a="1"/>
  <c r="BD320" i="27" s="1"/>
  <c r="BD314" i="27" a="1"/>
  <c r="BD314" i="27" s="1"/>
  <c r="BD307" i="27" a="1"/>
  <c r="BD307" i="27" s="1"/>
  <c r="BD301" i="27" a="1"/>
  <c r="BD301" i="27" s="1"/>
  <c r="BD293" i="27" a="1"/>
  <c r="BD293" i="27" s="1"/>
  <c r="BD285" i="27" a="1"/>
  <c r="BD285" i="27" s="1"/>
  <c r="BC317" i="27" a="1"/>
  <c r="BC317" i="27" s="1"/>
  <c r="BC309" i="27" a="1"/>
  <c r="BC309" i="27" s="1"/>
  <c r="BC301" i="27" a="1"/>
  <c r="BC301" i="27" s="1"/>
  <c r="BC293" i="27" a="1"/>
  <c r="BC293" i="27" s="1"/>
  <c r="BC285" i="27" a="1"/>
  <c r="BC285" i="27" s="1"/>
  <c r="BH319" i="27" a="1"/>
  <c r="BH319" i="27" s="1"/>
  <c r="BH311" i="27" a="1"/>
  <c r="BH311" i="27" s="1"/>
  <c r="BH303" i="27" a="1"/>
  <c r="BH303" i="27" s="1"/>
  <c r="BH295" i="27" a="1"/>
  <c r="BH295" i="27" s="1"/>
  <c r="BH287" i="27" a="1"/>
  <c r="BH287" i="27" s="1"/>
  <c r="BG319" i="27" a="1"/>
  <c r="BG319" i="27" s="1"/>
  <c r="BG311" i="27" a="1"/>
  <c r="BG311" i="27" s="1"/>
  <c r="BG303" i="27" a="1"/>
  <c r="BG303" i="27" s="1"/>
  <c r="BG295" i="27" a="1"/>
  <c r="BG295" i="27" s="1"/>
  <c r="BG287" i="27" a="1"/>
  <c r="BG287" i="27" s="1"/>
  <c r="BF320" i="27" a="1"/>
  <c r="BF320" i="27" s="1"/>
  <c r="BF314" i="27" a="1"/>
  <c r="BF314" i="27" s="1"/>
  <c r="BF307" i="27" a="1"/>
  <c r="BF307" i="27" s="1"/>
  <c r="BF301" i="27" a="1"/>
  <c r="BF301" i="27" s="1"/>
  <c r="BF293" i="27" a="1"/>
  <c r="BF293" i="27" s="1"/>
  <c r="BF285" i="27" a="1"/>
  <c r="BF285" i="27" s="1"/>
  <c r="BE317" i="27" a="1"/>
  <c r="BE317" i="27" s="1"/>
  <c r="BE309" i="27" a="1"/>
  <c r="BE309" i="27" s="1"/>
  <c r="BE301" i="27" a="1"/>
  <c r="BE301" i="27" s="1"/>
  <c r="BE293" i="27" a="1"/>
  <c r="BE293" i="27" s="1"/>
  <c r="BE285" i="27" a="1"/>
  <c r="BE285" i="27" s="1"/>
  <c r="BD312" i="27" a="1"/>
  <c r="BD312" i="27" s="1"/>
  <c r="BD306" i="27" a="1"/>
  <c r="BD306" i="27" s="1"/>
  <c r="BD299" i="27" a="1"/>
  <c r="BD299" i="27" s="1"/>
  <c r="BD291" i="27" a="1"/>
  <c r="BD291" i="27" s="1"/>
  <c r="BC323" i="27" a="1"/>
  <c r="BC323" i="27" s="1"/>
  <c r="BC315" i="27" a="1"/>
  <c r="BC315" i="27" s="1"/>
  <c r="BC307" i="27" a="1"/>
  <c r="BC307" i="27" s="1"/>
  <c r="BC299" i="27" a="1"/>
  <c r="BC299" i="27" s="1"/>
  <c r="BC291" i="27" a="1"/>
  <c r="BC291" i="27" s="1"/>
  <c r="BG317" i="27" a="1"/>
  <c r="BG317" i="27" s="1"/>
  <c r="BG285" i="27" a="1"/>
  <c r="BG285" i="27" s="1"/>
  <c r="BF306" i="27" a="1"/>
  <c r="BF306" i="27" s="1"/>
  <c r="BF291" i="27" a="1"/>
  <c r="BF291" i="27" s="1"/>
  <c r="BE315" i="27" a="1"/>
  <c r="BE315" i="27" s="1"/>
  <c r="BE299" i="27" a="1"/>
  <c r="BE299" i="27" s="1"/>
  <c r="BD323" i="27" a="1"/>
  <c r="BD323" i="27" s="1"/>
  <c r="BH318" i="27" a="1"/>
  <c r="BH318" i="27" s="1"/>
  <c r="BH310" i="27" a="1"/>
  <c r="BH310" i="27" s="1"/>
  <c r="BH302" i="27" a="1"/>
  <c r="BH302" i="27" s="1"/>
  <c r="BH294" i="27" a="1"/>
  <c r="BH294" i="27" s="1"/>
  <c r="BH286" i="27" a="1"/>
  <c r="BH286" i="27" s="1"/>
  <c r="BG318" i="27" a="1"/>
  <c r="BG318" i="27" s="1"/>
  <c r="BG310" i="27" a="1"/>
  <c r="BG310" i="27" s="1"/>
  <c r="BG302" i="27" a="1"/>
  <c r="BG302" i="27" s="1"/>
  <c r="BG294" i="27" a="1"/>
  <c r="BG294" i="27" s="1"/>
  <c r="BG286" i="27" a="1"/>
  <c r="BG286" i="27" s="1"/>
  <c r="BF319" i="27" a="1"/>
  <c r="BF319" i="27" s="1"/>
  <c r="BF313" i="27" a="1"/>
  <c r="BF313" i="27" s="1"/>
  <c r="BF300" i="27" a="1"/>
  <c r="BF300" i="27" s="1"/>
  <c r="BF292" i="27" a="1"/>
  <c r="BF292" i="27" s="1"/>
  <c r="BF284" i="27" a="1"/>
  <c r="BF284" i="27" s="1"/>
  <c r="BE316" i="27" a="1"/>
  <c r="BE316" i="27" s="1"/>
  <c r="BE308" i="27" a="1"/>
  <c r="BE308" i="27" s="1"/>
  <c r="BE300" i="27" a="1"/>
  <c r="BE300" i="27" s="1"/>
  <c r="BE292" i="27" a="1"/>
  <c r="BE292" i="27" s="1"/>
  <c r="BE284" i="27" a="1"/>
  <c r="BE284" i="27" s="1"/>
  <c r="BD318" i="27" a="1"/>
  <c r="BD318" i="27" s="1"/>
  <c r="BD311" i="27" a="1"/>
  <c r="BD311" i="27" s="1"/>
  <c r="BD305" i="27" a="1"/>
  <c r="BD305" i="27" s="1"/>
  <c r="BD298" i="27" a="1"/>
  <c r="BD298" i="27" s="1"/>
  <c r="BD290" i="27" a="1"/>
  <c r="BD290" i="27" s="1"/>
  <c r="BC322" i="27" a="1"/>
  <c r="BC322" i="27" s="1"/>
  <c r="BC314" i="27" a="1"/>
  <c r="BC314" i="27" s="1"/>
  <c r="BC306" i="27" a="1"/>
  <c r="BC306" i="27" s="1"/>
  <c r="BC298" i="27" a="1"/>
  <c r="BC298" i="27" s="1"/>
  <c r="BC290" i="27" a="1"/>
  <c r="BC290" i="27" s="1"/>
  <c r="BH317" i="27" a="1"/>
  <c r="BH317" i="27" s="1"/>
  <c r="BH309" i="27" a="1"/>
  <c r="BH309" i="27" s="1"/>
  <c r="BH301" i="27" a="1"/>
  <c r="BH301" i="27" s="1"/>
  <c r="BH293" i="27" a="1"/>
  <c r="BH293" i="27" s="1"/>
  <c r="BH285" i="27" a="1"/>
  <c r="BH285" i="27" s="1"/>
  <c r="BG309" i="27" a="1"/>
  <c r="BG309" i="27" s="1"/>
  <c r="BG301" i="27" a="1"/>
  <c r="BG301" i="27" s="1"/>
  <c r="BG293" i="27" a="1"/>
  <c r="BG293" i="27" s="1"/>
  <c r="BF312" i="27" a="1"/>
  <c r="BF312" i="27" s="1"/>
  <c r="BF299" i="27" a="1"/>
  <c r="BF299" i="27" s="1"/>
  <c r="BE323" i="27" a="1"/>
  <c r="BE323" i="27" s="1"/>
  <c r="BE307" i="27" a="1"/>
  <c r="BE307" i="27" s="1"/>
  <c r="BE291" i="27" a="1"/>
  <c r="BE291" i="27" s="1"/>
  <c r="BD317" i="27" a="1"/>
  <c r="BD317" i="27" s="1"/>
  <c r="BH296" i="27" a="1"/>
  <c r="BH296" i="27" s="1"/>
  <c r="BG304" i="27" a="1"/>
  <c r="BG304" i="27" s="1"/>
  <c r="BF286" i="27" a="1"/>
  <c r="BF286" i="27" s="1"/>
  <c r="BE294" i="27" a="1"/>
  <c r="BE294" i="27" s="1"/>
  <c r="BD297" i="27" a="1"/>
  <c r="BD297" i="27" s="1"/>
  <c r="BC321" i="27" a="1"/>
  <c r="BC321" i="27" s="1"/>
  <c r="BC305" i="27" a="1"/>
  <c r="BC305" i="27" s="1"/>
  <c r="BC289" i="27" a="1"/>
  <c r="BC289" i="27" s="1"/>
  <c r="BH292" i="27" a="1"/>
  <c r="BH292" i="27" s="1"/>
  <c r="BG300" i="27" a="1"/>
  <c r="BG300" i="27" s="1"/>
  <c r="BF311" i="27" a="1"/>
  <c r="BF311" i="27" s="1"/>
  <c r="BE322" i="27" a="1"/>
  <c r="BE322" i="27" s="1"/>
  <c r="BE290" i="27" a="1"/>
  <c r="BE290" i="27" s="1"/>
  <c r="BD310" i="27" a="1"/>
  <c r="BD310" i="27" s="1"/>
  <c r="BD296" i="27" a="1"/>
  <c r="BD296" i="27" s="1"/>
  <c r="BC320" i="27" a="1"/>
  <c r="BC320" i="27" s="1"/>
  <c r="BC304" i="27" a="1"/>
  <c r="BC304" i="27" s="1"/>
  <c r="BC288" i="27" a="1"/>
  <c r="BC288" i="27" s="1"/>
  <c r="BH288" i="27" a="1"/>
  <c r="BH288" i="27" s="1"/>
  <c r="BG296" i="27" a="1"/>
  <c r="BG296" i="27" s="1"/>
  <c r="BF308" i="27" a="1"/>
  <c r="BF308" i="27" s="1"/>
  <c r="BE318" i="27" a="1"/>
  <c r="BE318" i="27" s="1"/>
  <c r="BE286" i="27" a="1"/>
  <c r="BE286" i="27" s="1"/>
  <c r="BD308" i="27" a="1"/>
  <c r="BD308" i="27" s="1"/>
  <c r="BC318" i="27" a="1"/>
  <c r="BC318" i="27" s="1"/>
  <c r="BC302" i="27" a="1"/>
  <c r="BC302" i="27" s="1"/>
  <c r="BC286" i="27" a="1"/>
  <c r="BC286" i="27" s="1"/>
  <c r="BG292" i="27" a="1"/>
  <c r="BG292" i="27" s="1"/>
  <c r="BE314" i="27" a="1"/>
  <c r="BE314" i="27" s="1"/>
  <c r="BC316" i="27" a="1"/>
  <c r="BC316" i="27" s="1"/>
  <c r="BH300" i="27" a="1"/>
  <c r="BH300" i="27" s="1"/>
  <c r="BE298" i="27" a="1"/>
  <c r="BE298" i="27" s="1"/>
  <c r="BD300" i="27" a="1"/>
  <c r="BD300" i="27" s="1"/>
  <c r="BD294" i="27" a="1"/>
  <c r="BD294" i="27" s="1"/>
  <c r="BH316" i="27" a="1"/>
  <c r="BH316" i="27" s="1"/>
  <c r="BD292" i="27" a="1"/>
  <c r="BD292" i="27" s="1"/>
  <c r="BC284" i="27" a="1"/>
  <c r="BC284" i="27" s="1"/>
  <c r="BG308" i="27" a="1"/>
  <c r="BG308" i="27" s="1"/>
  <c r="BD313" i="27" a="1"/>
  <c r="BD313" i="27" s="1"/>
  <c r="BC292" i="27" a="1"/>
  <c r="BC292" i="27" s="1"/>
  <c r="BH320" i="27" a="1"/>
  <c r="BH320" i="27" s="1"/>
  <c r="BH284" i="27" a="1"/>
  <c r="BH284" i="27" s="1"/>
  <c r="BF305" i="27" a="1"/>
  <c r="BF305" i="27" s="1"/>
  <c r="BC300" i="27" a="1"/>
  <c r="BC300" i="27" s="1"/>
  <c r="BF318" i="27" a="1"/>
  <c r="BF318" i="27" s="1"/>
  <c r="BC308" i="27" a="1"/>
  <c r="BC308" i="27" s="1"/>
  <c r="BH312" i="27" a="1"/>
  <c r="BH312" i="27" s="1"/>
  <c r="BG320" i="27" a="1"/>
  <c r="BG320" i="27" s="1"/>
  <c r="BG288" i="27" a="1"/>
  <c r="BG288" i="27" s="1"/>
  <c r="BF302" i="27" a="1"/>
  <c r="BF302" i="27" s="1"/>
  <c r="BE310" i="27" a="1"/>
  <c r="BE310" i="27" s="1"/>
  <c r="BD319" i="27" a="1"/>
  <c r="BD319" i="27" s="1"/>
  <c r="BD304" i="27" a="1"/>
  <c r="BD304" i="27" s="1"/>
  <c r="BD289" i="27" a="1"/>
  <c r="BD289" i="27" s="1"/>
  <c r="BC313" i="27" a="1"/>
  <c r="BC313" i="27" s="1"/>
  <c r="BC297" i="27" a="1"/>
  <c r="BC297" i="27" s="1"/>
  <c r="BH308" i="27" a="1"/>
  <c r="BH308" i="27" s="1"/>
  <c r="BG316" i="27" a="1"/>
  <c r="BG316" i="27" s="1"/>
  <c r="BG284" i="27" a="1"/>
  <c r="BG284" i="27" s="1"/>
  <c r="BF298" i="27" a="1"/>
  <c r="BF298" i="27" s="1"/>
  <c r="BE306" i="27" a="1"/>
  <c r="BE306" i="27" s="1"/>
  <c r="BD316" i="27" a="1"/>
  <c r="BD316" i="27" s="1"/>
  <c r="BD303" i="27" a="1"/>
  <c r="BD303" i="27" s="1"/>
  <c r="BD288" i="27" a="1"/>
  <c r="BD288" i="27" s="1"/>
  <c r="BC312" i="27" a="1"/>
  <c r="BC312" i="27" s="1"/>
  <c r="BC296" i="27" a="1"/>
  <c r="BC296" i="27" s="1"/>
  <c r="BH304" i="27" a="1"/>
  <c r="BH304" i="27" s="1"/>
  <c r="BG312" i="27" a="1"/>
  <c r="BG312" i="27" s="1"/>
  <c r="BF321" i="27" a="1"/>
  <c r="BF321" i="27" s="1"/>
  <c r="BF294" i="27" a="1"/>
  <c r="BF294" i="27" s="1"/>
  <c r="BE302" i="27" a="1"/>
  <c r="BE302" i="27" s="1"/>
  <c r="BD302" i="27" a="1"/>
  <c r="BD302" i="27" s="1"/>
  <c r="BD286" i="27" a="1"/>
  <c r="BD286" i="27" s="1"/>
  <c r="BC310" i="27" a="1"/>
  <c r="BC310" i="27" s="1"/>
  <c r="BC294" i="27" a="1"/>
  <c r="BC294" i="27" s="1"/>
  <c r="BF290" i="27" a="1"/>
  <c r="BF290" i="27" s="1"/>
  <c r="BD284" i="27" a="1"/>
  <c r="BD284" i="27" s="1"/>
  <c r="BJ291" i="27" l="1"/>
  <c r="BJ284" i="27"/>
  <c r="BJ321" i="27"/>
  <c r="BJ286" i="27"/>
  <c r="BJ300" i="27"/>
  <c r="BJ313" i="27"/>
  <c r="BJ317" i="27"/>
  <c r="BJ302" i="27"/>
  <c r="BJ311" i="27"/>
  <c r="BJ303" i="27"/>
  <c r="BJ289" i="27"/>
  <c r="BJ316" i="27"/>
  <c r="BJ310" i="27"/>
  <c r="BJ288" i="27"/>
  <c r="BJ299" i="27"/>
  <c r="BJ290" i="27"/>
  <c r="BJ307" i="27"/>
  <c r="BJ322" i="27"/>
  <c r="BJ285" i="27"/>
  <c r="BJ323" i="27"/>
  <c r="BJ301" i="27"/>
  <c r="BJ305" i="27"/>
  <c r="BJ296" i="27"/>
  <c r="BJ315" i="27"/>
  <c r="BJ293" i="27"/>
  <c r="BJ294" i="27"/>
  <c r="BJ312" i="27"/>
  <c r="BJ297" i="27"/>
  <c r="BJ292" i="27"/>
  <c r="BJ304" i="27"/>
  <c r="BJ314" i="27"/>
  <c r="BJ320" i="27"/>
  <c r="BJ306" i="27"/>
  <c r="BJ318" i="27"/>
  <c r="BJ309" i="27"/>
  <c r="BJ308" i="27"/>
  <c r="BJ287" i="27"/>
  <c r="BJ319" i="27"/>
  <c r="BJ298" i="27"/>
  <c r="BJ295" i="27"/>
  <c r="L24" i="48" l="1"/>
  <c r="BC337" i="27" l="1"/>
  <c r="L23" i="48" l="1"/>
  <c r="N37" i="51" s="1"/>
  <c r="BU110" i="27" l="1"/>
  <c r="BJ327" i="27"/>
  <c r="BJ278" i="27"/>
  <c r="BP106" i="27" l="1" a="1"/>
  <c r="BP106" i="27" s="1"/>
  <c r="BO105" i="27" a="1"/>
  <c r="BO105" i="27" s="1"/>
  <c r="BN104" i="27" a="1"/>
  <c r="BN104" i="27" s="1"/>
  <c r="BN103" i="27" a="1"/>
  <c r="BN103" i="27" s="1"/>
  <c r="BN102" i="27" a="1"/>
  <c r="BN102" i="27" s="1"/>
  <c r="BT100" i="27" a="1"/>
  <c r="BT100" i="27" s="1"/>
  <c r="BS99" i="27" a="1"/>
  <c r="BS99" i="27" s="1"/>
  <c r="BR98" i="27" a="1"/>
  <c r="BR98" i="27" s="1"/>
  <c r="BS97" i="27" a="1"/>
  <c r="BS97" i="27" s="1"/>
  <c r="BR96" i="27" a="1"/>
  <c r="BR96" i="27" s="1"/>
  <c r="BQ95" i="27" a="1"/>
  <c r="BQ95" i="27" s="1"/>
  <c r="BP94" i="27" a="1"/>
  <c r="BP94" i="27" s="1"/>
  <c r="BP92" i="27" a="1"/>
  <c r="BP92" i="27" s="1"/>
  <c r="BO91" i="27" a="1"/>
  <c r="BO91" i="27" s="1"/>
  <c r="BO90" i="27" a="1"/>
  <c r="BO90" i="27" s="1"/>
  <c r="BO89" i="27" a="1"/>
  <c r="BO89" i="27" s="1"/>
  <c r="BO88" i="27" a="1"/>
  <c r="BO88" i="27" s="1"/>
  <c r="BO87" i="27" a="1"/>
  <c r="BO87" i="27" s="1"/>
  <c r="BS105" i="27" a="1"/>
  <c r="BS105" i="27" s="1"/>
  <c r="BR104" i="27" a="1"/>
  <c r="BR104" i="27" s="1"/>
  <c r="BQ103" i="27" a="1"/>
  <c r="BQ103" i="27" s="1"/>
  <c r="BQ101" i="27" a="1"/>
  <c r="BQ101" i="27" s="1"/>
  <c r="BP100" i="27" a="1"/>
  <c r="BP100" i="27" s="1"/>
  <c r="BO99" i="27" a="1"/>
  <c r="BO99" i="27" s="1"/>
  <c r="BO98" i="27" a="1"/>
  <c r="BO98" i="27" s="1"/>
  <c r="BO97" i="27" a="1"/>
  <c r="BO97" i="27" s="1"/>
  <c r="BN96" i="27" a="1"/>
  <c r="BN96" i="27" s="1"/>
  <c r="BT94" i="27" a="1"/>
  <c r="BT94" i="27" s="1"/>
  <c r="BT93" i="27" a="1"/>
  <c r="BT93" i="27" s="1"/>
  <c r="BT92" i="27" a="1"/>
  <c r="BT92" i="27" s="1"/>
  <c r="BS91" i="27" a="1"/>
  <c r="BS91" i="27" s="1"/>
  <c r="BS89" i="27" a="1"/>
  <c r="BS89" i="27" s="1"/>
  <c r="BR88" i="27" a="1"/>
  <c r="BR88" i="27" s="1"/>
  <c r="BR86" i="27" a="1"/>
  <c r="BR86" i="27" s="1"/>
  <c r="BR85" i="27" a="1"/>
  <c r="BR85" i="27" s="1"/>
  <c r="BR84" i="27" a="1"/>
  <c r="BR84" i="27" s="1"/>
  <c r="BR83" i="27" a="1"/>
  <c r="BR83" i="27" s="1"/>
  <c r="BR82" i="27" a="1"/>
  <c r="BR82" i="27" s="1"/>
  <c r="BR80" i="27" a="1"/>
  <c r="BR80" i="27" s="1"/>
  <c r="BQ79" i="27" a="1"/>
  <c r="BQ79" i="27" s="1"/>
  <c r="BQ77" i="27" a="1"/>
  <c r="BQ77" i="27" s="1"/>
  <c r="BQ76" i="27" a="1"/>
  <c r="BQ76" i="27" s="1"/>
  <c r="BQ75" i="27" a="1"/>
  <c r="BQ75" i="27" s="1"/>
  <c r="BQ74" i="27" a="1"/>
  <c r="BQ74" i="27" s="1"/>
  <c r="BP73" i="27" a="1"/>
  <c r="BP73" i="27" s="1"/>
  <c r="BP69" i="27" a="1"/>
  <c r="BP69" i="27" s="1"/>
  <c r="BQ68" i="27" a="1"/>
  <c r="BQ68" i="27" s="1"/>
  <c r="BQ67" i="27" a="1"/>
  <c r="BQ67" i="27" s="1"/>
  <c r="BR66" i="27" a="1"/>
  <c r="BR66" i="27" s="1"/>
  <c r="BS64" i="27" a="1"/>
  <c r="BS64" i="27" s="1"/>
  <c r="BT63" i="27" a="1"/>
  <c r="BT63" i="27" s="1"/>
  <c r="BT62" i="27" a="1"/>
  <c r="BT62" i="27" s="1"/>
  <c r="BN62" i="27" a="1"/>
  <c r="BN62" i="27" s="1"/>
  <c r="BO60" i="27" a="1"/>
  <c r="BO60" i="27" s="1"/>
  <c r="BP59" i="27" a="1"/>
  <c r="BP59" i="27" s="1"/>
  <c r="BP58" i="27" a="1"/>
  <c r="BP58" i="27" s="1"/>
  <c r="BQ57" i="27" a="1"/>
  <c r="BQ57" i="27" s="1"/>
  <c r="BR55" i="27" a="1"/>
  <c r="BR55" i="27" s="1"/>
  <c r="BS54" i="27" a="1"/>
  <c r="BS54" i="27" s="1"/>
  <c r="BT53" i="27" a="1"/>
  <c r="BT53" i="27" s="1"/>
  <c r="BP52" i="27" a="1"/>
  <c r="BP52" i="27" s="1"/>
  <c r="BQ51" i="27" a="1"/>
  <c r="BQ51" i="27" s="1"/>
  <c r="BS49" i="27" a="1"/>
  <c r="BS49" i="27" s="1"/>
  <c r="BN49" i="27" a="1"/>
  <c r="BN49" i="27" s="1"/>
  <c r="BO48" i="27" a="1"/>
  <c r="BO48" i="27" s="1"/>
  <c r="BP47" i="27" a="1"/>
  <c r="BP47" i="27" s="1"/>
  <c r="BQ46" i="27" a="1"/>
  <c r="BQ46" i="27" s="1"/>
  <c r="BQ106" i="27" a="1"/>
  <c r="BQ106" i="27" s="1"/>
  <c r="BT104" i="27" a="1"/>
  <c r="BT104" i="27" s="1"/>
  <c r="BP103" i="27" a="1"/>
  <c r="BP103" i="27" s="1"/>
  <c r="BO102" i="27" a="1"/>
  <c r="BO102" i="27" s="1"/>
  <c r="BR100" i="27" a="1"/>
  <c r="BR100" i="27" s="1"/>
  <c r="BN99" i="27" a="1"/>
  <c r="BN99" i="27" s="1"/>
  <c r="BT97" i="27" a="1"/>
  <c r="BT97" i="27" s="1"/>
  <c r="BP96" i="27" a="1"/>
  <c r="BP96" i="27" s="1"/>
  <c r="BS94" i="27" a="1"/>
  <c r="BS94" i="27" s="1"/>
  <c r="BQ93" i="27" a="1"/>
  <c r="BQ93" i="27" s="1"/>
  <c r="BN92" i="27" a="1"/>
  <c r="BN92" i="27" s="1"/>
  <c r="BR90" i="27" a="1"/>
  <c r="BR90" i="27" s="1"/>
  <c r="BP89" i="27" a="1"/>
  <c r="BP89" i="27" s="1"/>
  <c r="BT87" i="27" a="1"/>
  <c r="BT87" i="27" s="1"/>
  <c r="BQ86" i="27" a="1"/>
  <c r="BQ86" i="27" s="1"/>
  <c r="BO84" i="27" a="1"/>
  <c r="BO84" i="27" s="1"/>
  <c r="BT81" i="27" a="1"/>
  <c r="BT81" i="27" s="1"/>
  <c r="BR79" i="27" a="1"/>
  <c r="BR79" i="27" s="1"/>
  <c r="BQ78" i="27" a="1"/>
  <c r="BQ78" i="27" s="1"/>
  <c r="BO77" i="27" a="1"/>
  <c r="BO77" i="27" s="1"/>
  <c r="BO76" i="27" a="1"/>
  <c r="BO76" i="27" s="1"/>
  <c r="BT74" i="27" a="1"/>
  <c r="BT74" i="27" s="1"/>
  <c r="BS73" i="27" a="1"/>
  <c r="BS73" i="27" s="1"/>
  <c r="BR69" i="27" a="1"/>
  <c r="BR69" i="27" s="1"/>
  <c r="BP66" i="27" a="1"/>
  <c r="BP66" i="27" s="1"/>
  <c r="BP65" i="27" a="1"/>
  <c r="BP65" i="27" s="1"/>
  <c r="BP64" i="27" a="1"/>
  <c r="BP64" i="27" s="1"/>
  <c r="BP63" i="27" a="1"/>
  <c r="BP63" i="27" s="1"/>
  <c r="BO61" i="27" a="1"/>
  <c r="BO61" i="27" s="1"/>
  <c r="BN60" i="27" a="1"/>
  <c r="BN60" i="27" s="1"/>
  <c r="BN59" i="27" a="1"/>
  <c r="BN59" i="27" s="1"/>
  <c r="BN58" i="27" a="1"/>
  <c r="BN58" i="27" s="1"/>
  <c r="BN57" i="27" a="1"/>
  <c r="BN57" i="27" s="1"/>
  <c r="BT54" i="27" a="1"/>
  <c r="BT54" i="27" s="1"/>
  <c r="BN54" i="27" a="1"/>
  <c r="BN54" i="27" s="1"/>
  <c r="BN53" i="27" a="1"/>
  <c r="BN53" i="27" s="1"/>
  <c r="BN52" i="27" a="1"/>
  <c r="BN52" i="27" s="1"/>
  <c r="BO51" i="27" a="1"/>
  <c r="BO51" i="27" s="1"/>
  <c r="BP49" i="27" a="1"/>
  <c r="BP49" i="27" s="1"/>
  <c r="BP46" i="27" a="1"/>
  <c r="BP46" i="27" s="1"/>
  <c r="BR45" i="27" a="1"/>
  <c r="BR45" i="27" s="1"/>
  <c r="BS44" i="27" a="1"/>
  <c r="BS44" i="27" s="1"/>
  <c r="BT43" i="27" a="1"/>
  <c r="BT43" i="27" s="1"/>
  <c r="BN43" i="27" a="1"/>
  <c r="BN43" i="27" s="1"/>
  <c r="BQ41" i="27" a="1"/>
  <c r="BQ41" i="27" s="1"/>
  <c r="BS39" i="27" a="1"/>
  <c r="BS39" i="27" s="1"/>
  <c r="BT38" i="27" a="1"/>
  <c r="BT38" i="27" s="1"/>
  <c r="BS37" i="27" a="1"/>
  <c r="BS37" i="27" s="1"/>
  <c r="BR36" i="27" a="1"/>
  <c r="BR36" i="27" s="1"/>
  <c r="BO106" i="27" a="1"/>
  <c r="BO106" i="27" s="1"/>
  <c r="BS104" i="27" a="1"/>
  <c r="BS104" i="27" s="1"/>
  <c r="BO103" i="27" a="1"/>
  <c r="BO103" i="27" s="1"/>
  <c r="BT101" i="27" a="1"/>
  <c r="BT101" i="27" s="1"/>
  <c r="BQ100" i="27" a="1"/>
  <c r="BQ100" i="27" s="1"/>
  <c r="BT98" i="27" a="1"/>
  <c r="BT98" i="27" s="1"/>
  <c r="BR97" i="27" a="1"/>
  <c r="BR97" i="27" s="1"/>
  <c r="BO96" i="27" a="1"/>
  <c r="BO96" i="27" s="1"/>
  <c r="BR94" i="27" a="1"/>
  <c r="BR94" i="27" s="1"/>
  <c r="BP93" i="27" a="1"/>
  <c r="BP93" i="27" s="1"/>
  <c r="BT91" i="27" a="1"/>
  <c r="BT91" i="27" s="1"/>
  <c r="BQ90" i="27" a="1"/>
  <c r="BQ90" i="27" s="1"/>
  <c r="BN89" i="27" a="1"/>
  <c r="BN89" i="27" s="1"/>
  <c r="BS87" i="27" a="1"/>
  <c r="BS87" i="27" s="1"/>
  <c r="BP86" i="27" a="1"/>
  <c r="BP86" i="27" s="1"/>
  <c r="BP85" i="27" a="1"/>
  <c r="BP85" i="27" s="1"/>
  <c r="BN84" i="27" a="1"/>
  <c r="BN84" i="27" s="1"/>
  <c r="BN83" i="27" a="1"/>
  <c r="BN83" i="27" s="1"/>
  <c r="BS81" i="27" a="1"/>
  <c r="BS81" i="27" s="1"/>
  <c r="BS80" i="27" a="1"/>
  <c r="BS80" i="27" s="1"/>
  <c r="BP79" i="27" a="1"/>
  <c r="BP79" i="27" s="1"/>
  <c r="BP78" i="27" a="1"/>
  <c r="BP78" i="27" s="1"/>
  <c r="BN77" i="27" a="1"/>
  <c r="BN77" i="27" s="1"/>
  <c r="BN76" i="27" a="1"/>
  <c r="BN76" i="27" s="1"/>
  <c r="BS74" i="27" a="1"/>
  <c r="BS74" i="27" s="1"/>
  <c r="BR73" i="27" a="1"/>
  <c r="BR73" i="27" s="1"/>
  <c r="BQ69" i="27" a="1"/>
  <c r="BQ69" i="27" s="1"/>
  <c r="BP68" i="27" a="1"/>
  <c r="BP68" i="27" s="1"/>
  <c r="BP67" i="27" a="1"/>
  <c r="BP67" i="27" s="1"/>
  <c r="BO65" i="27" a="1"/>
  <c r="BO65" i="27" s="1"/>
  <c r="BO64" i="27" a="1"/>
  <c r="BO64" i="27" s="1"/>
  <c r="BO63" i="27" a="1"/>
  <c r="BO63" i="27" s="1"/>
  <c r="BO62" i="27" a="1"/>
  <c r="BO62" i="27" s="1"/>
  <c r="BN61" i="27" a="1"/>
  <c r="BN61" i="27" s="1"/>
  <c r="BT58" i="27" a="1"/>
  <c r="BT58" i="27" s="1"/>
  <c r="BT57" i="27" a="1"/>
  <c r="BT57" i="27" s="1"/>
  <c r="BT56" i="27" a="1"/>
  <c r="BT56" i="27" s="1"/>
  <c r="BT55" i="27" a="1"/>
  <c r="BT55" i="27" s="1"/>
  <c r="BS53" i="27" a="1"/>
  <c r="BS53" i="27" s="1"/>
  <c r="BN51" i="27" a="1"/>
  <c r="BN51" i="27" s="1"/>
  <c r="BO50" i="27" a="1"/>
  <c r="BO50" i="27" s="1"/>
  <c r="BO49" i="27" a="1"/>
  <c r="BO49" i="27" s="1"/>
  <c r="BP48" i="27" a="1"/>
  <c r="BP48" i="27" s="1"/>
  <c r="BQ45" i="27" a="1"/>
  <c r="BQ45" i="27" s="1"/>
  <c r="BR44" i="27" a="1"/>
  <c r="BR44" i="27" s="1"/>
  <c r="BT42" i="27" a="1"/>
  <c r="BT42" i="27" s="1"/>
  <c r="BO42" i="27" a="1"/>
  <c r="BO42" i="27" s="1"/>
  <c r="BP41" i="27" a="1"/>
  <c r="BP41" i="27" s="1"/>
  <c r="BQ40" i="27" a="1"/>
  <c r="BQ40" i="27" s="1"/>
  <c r="BR39" i="27" a="1"/>
  <c r="BR39" i="27" s="1"/>
  <c r="BS38" i="27" a="1"/>
  <c r="BS38" i="27" s="1"/>
  <c r="BR37" i="27" a="1"/>
  <c r="BR37" i="27" s="1"/>
  <c r="BQ36" i="27" a="1"/>
  <c r="BQ36" i="27" s="1"/>
  <c r="BN106" i="27" a="1"/>
  <c r="BN106" i="27" s="1"/>
  <c r="BQ104" i="27" a="1"/>
  <c r="BQ104" i="27" s="1"/>
  <c r="BS101" i="27" a="1"/>
  <c r="BS101" i="27" s="1"/>
  <c r="BO100" i="27" a="1"/>
  <c r="BO100" i="27" s="1"/>
  <c r="BS98" i="27" a="1"/>
  <c r="BS98" i="27" s="1"/>
  <c r="BQ97" i="27" a="1"/>
  <c r="BQ97" i="27" s="1"/>
  <c r="BT106" i="27" a="1"/>
  <c r="BT106" i="27" s="1"/>
  <c r="BQ105" i="27" a="1"/>
  <c r="BQ105" i="27" s="1"/>
  <c r="BT103" i="27" a="1"/>
  <c r="BT103" i="27" s="1"/>
  <c r="BR102" i="27" a="1"/>
  <c r="BR102" i="27" s="1"/>
  <c r="BO101" i="27" a="1"/>
  <c r="BO101" i="27" s="1"/>
  <c r="BR99" i="27" a="1"/>
  <c r="BR99" i="27" s="1"/>
  <c r="BP98" i="27" a="1"/>
  <c r="BP98" i="27" s="1"/>
  <c r="BT96" i="27" a="1"/>
  <c r="BT96" i="27" s="1"/>
  <c r="BP95" i="27" a="1"/>
  <c r="BP95" i="27" s="1"/>
  <c r="BR92" i="27" a="1"/>
  <c r="BR92" i="27" s="1"/>
  <c r="BN91" i="27" a="1"/>
  <c r="BN91" i="27" s="1"/>
  <c r="BT89" i="27" a="1"/>
  <c r="BT89" i="27" s="1"/>
  <c r="BN87" i="27" a="1"/>
  <c r="BN87" i="27" s="1"/>
  <c r="BT85" i="27" a="1"/>
  <c r="BT85" i="27" s="1"/>
  <c r="BS84" i="27" a="1"/>
  <c r="BS84" i="27" s="1"/>
  <c r="BQ83" i="27" a="1"/>
  <c r="BQ83" i="27" s="1"/>
  <c r="BP82" i="27" a="1"/>
  <c r="BP82" i="27" s="1"/>
  <c r="BO81" i="27" a="1"/>
  <c r="BO81" i="27" s="1"/>
  <c r="BN80" i="27" a="1"/>
  <c r="BN80" i="27" s="1"/>
  <c r="BT78" i="27" a="1"/>
  <c r="BT78" i="27" s="1"/>
  <c r="BS77" i="27" a="1"/>
  <c r="BS77" i="27" s="1"/>
  <c r="BR76" i="27" a="1"/>
  <c r="BR76" i="27" s="1"/>
  <c r="BP75" i="27" a="1"/>
  <c r="BP75" i="27" s="1"/>
  <c r="BO74" i="27" a="1"/>
  <c r="BO74" i="27" s="1"/>
  <c r="BT69" i="27" a="1"/>
  <c r="BT69" i="27" s="1"/>
  <c r="BT68" i="27" a="1"/>
  <c r="BT68" i="27" s="1"/>
  <c r="BT67" i="27" a="1"/>
  <c r="BT67" i="27" s="1"/>
  <c r="BS65" i="27" a="1"/>
  <c r="BS65" i="27" s="1"/>
  <c r="BR64" i="27" a="1"/>
  <c r="BR64" i="27" s="1"/>
  <c r="BR63" i="27" a="1"/>
  <c r="BR63" i="27" s="1"/>
  <c r="BR62" i="27" a="1"/>
  <c r="BR62" i="27" s="1"/>
  <c r="BR61" i="27" a="1"/>
  <c r="BR61" i="27" s="1"/>
  <c r="BQ59" i="27" a="1"/>
  <c r="BQ59" i="27" s="1"/>
  <c r="BQ58" i="27" a="1"/>
  <c r="BQ58" i="27" s="1"/>
  <c r="BP57" i="27" a="1"/>
  <c r="BP57" i="27" s="1"/>
  <c r="BP56" i="27" a="1"/>
  <c r="BP56" i="27" s="1"/>
  <c r="BP55" i="27" a="1"/>
  <c r="BP55" i="27" s="1"/>
  <c r="BQ53" i="27" a="1"/>
  <c r="BQ53" i="27" s="1"/>
  <c r="BR51" i="27" a="1"/>
  <c r="BR51" i="27" s="1"/>
  <c r="BR50" i="27" a="1"/>
  <c r="BR50" i="27" s="1"/>
  <c r="BS106" i="27" a="1"/>
  <c r="BS106" i="27" s="1"/>
  <c r="BS103" i="27" a="1"/>
  <c r="BS103" i="27" s="1"/>
  <c r="BN101" i="27" a="1"/>
  <c r="BN101" i="27" s="1"/>
  <c r="BN98" i="27" a="1"/>
  <c r="BN98" i="27" s="1"/>
  <c r="BR95" i="27" a="1"/>
  <c r="BR95" i="27" s="1"/>
  <c r="BO93" i="27" a="1"/>
  <c r="BO93" i="27" s="1"/>
  <c r="BT90" i="27" a="1"/>
  <c r="BT90" i="27" s="1"/>
  <c r="BS88" i="27" a="1"/>
  <c r="BS88" i="27" s="1"/>
  <c r="BS86" i="27" a="1"/>
  <c r="BS86" i="27" s="1"/>
  <c r="BT84" i="27" a="1"/>
  <c r="BT84" i="27" s="1"/>
  <c r="BT82" i="27" a="1"/>
  <c r="BT82" i="27" s="1"/>
  <c r="BN81" i="27" a="1"/>
  <c r="BN81" i="27" s="1"/>
  <c r="BO79" i="27" a="1"/>
  <c r="BO79" i="27" s="1"/>
  <c r="BP77" i="27" a="1"/>
  <c r="BP77" i="27" s="1"/>
  <c r="BR75" i="27" a="1"/>
  <c r="BR75" i="27" s="1"/>
  <c r="BQ73" i="27" a="1"/>
  <c r="BQ73" i="27" s="1"/>
  <c r="BS68" i="27" a="1"/>
  <c r="BS68" i="27" s="1"/>
  <c r="BN67" i="27" a="1"/>
  <c r="BN67" i="27" s="1"/>
  <c r="BQ65" i="27" a="1"/>
  <c r="BQ65" i="27" s="1"/>
  <c r="BS63" i="27" a="1"/>
  <c r="BS63" i="27" s="1"/>
  <c r="BT61" i="27" a="1"/>
  <c r="BT61" i="27" s="1"/>
  <c r="BQ60" i="27" a="1"/>
  <c r="BQ60" i="27" s="1"/>
  <c r="BS58" i="27" a="1"/>
  <c r="BS58" i="27" s="1"/>
  <c r="BQ52" i="27" a="1"/>
  <c r="BQ52" i="27" s="1"/>
  <c r="BN48" i="27" a="1"/>
  <c r="BN48" i="27" s="1"/>
  <c r="BT46" i="27" a="1"/>
  <c r="BT46" i="27" s="1"/>
  <c r="BS45" i="27" a="1"/>
  <c r="BS45" i="27" s="1"/>
  <c r="BQ43" i="27" a="1"/>
  <c r="BQ43" i="27" s="1"/>
  <c r="BQ42" i="27" a="1"/>
  <c r="BQ42" i="27" s="1"/>
  <c r="BO41" i="27" a="1"/>
  <c r="BO41" i="27" s="1"/>
  <c r="BO40" i="27" a="1"/>
  <c r="BO40" i="27" s="1"/>
  <c r="BO39" i="27" a="1"/>
  <c r="BO39" i="27" s="1"/>
  <c r="BQ37" i="27" a="1"/>
  <c r="BQ37" i="27" s="1"/>
  <c r="BN36" i="27" a="1"/>
  <c r="BN36" i="27" s="1"/>
  <c r="BO86" i="27" a="1"/>
  <c r="BO86" i="27" s="1"/>
  <c r="BT80" i="27" a="1"/>
  <c r="BT80" i="27" s="1"/>
  <c r="BO75" i="27" a="1"/>
  <c r="BO75" i="27" s="1"/>
  <c r="BR68" i="27" a="1"/>
  <c r="BR68" i="27" s="1"/>
  <c r="BT66" i="27" a="1"/>
  <c r="BT66" i="27" s="1"/>
  <c r="BQ63" i="27" a="1"/>
  <c r="BQ63" i="27" s="1"/>
  <c r="BP60" i="27" a="1"/>
  <c r="BP60" i="27" s="1"/>
  <c r="BS56" i="27" a="1"/>
  <c r="BS56" i="27" s="1"/>
  <c r="BR53" i="27" a="1"/>
  <c r="BR53" i="27" s="1"/>
  <c r="BO52" i="27" a="1"/>
  <c r="BO52" i="27" s="1"/>
  <c r="BQ49" i="27" a="1"/>
  <c r="BQ49" i="27" s="1"/>
  <c r="BQ44" i="27" a="1"/>
  <c r="BQ44" i="27" s="1"/>
  <c r="BN40" i="27" a="1"/>
  <c r="BN40" i="27" s="1"/>
  <c r="BP37" i="27" a="1"/>
  <c r="BP37" i="27" s="1"/>
  <c r="BR105" i="27" a="1"/>
  <c r="BR105" i="27" s="1"/>
  <c r="BS102" i="27" a="1"/>
  <c r="BS102" i="27" s="1"/>
  <c r="BT99" i="27" a="1"/>
  <c r="BT99" i="27" s="1"/>
  <c r="BN97" i="27" a="1"/>
  <c r="BN97" i="27" s="1"/>
  <c r="BQ92" i="27" a="1"/>
  <c r="BQ92" i="27" s="1"/>
  <c r="BN90" i="27" a="1"/>
  <c r="BN90" i="27" s="1"/>
  <c r="BN88" i="27" a="1"/>
  <c r="BN88" i="27" s="1"/>
  <c r="BN86" i="27" a="1"/>
  <c r="BN86" i="27" s="1"/>
  <c r="BO82" i="27" a="1"/>
  <c r="BO82" i="27" s="1"/>
  <c r="BR78" i="27" a="1"/>
  <c r="BR78" i="27" s="1"/>
  <c r="BS69" i="27" a="1"/>
  <c r="BS69" i="27" s="1"/>
  <c r="BQ66" i="27" a="1"/>
  <c r="BQ66" i="27" s="1"/>
  <c r="BN63" i="27" a="1"/>
  <c r="BN63" i="27" s="1"/>
  <c r="BS59" i="27" a="1"/>
  <c r="BS59" i="27" s="1"/>
  <c r="BQ56" i="27" a="1"/>
  <c r="BQ56" i="27" s="1"/>
  <c r="BP53" i="27" a="1"/>
  <c r="BP53" i="27" s="1"/>
  <c r="BT48" i="27" a="1"/>
  <c r="BT48" i="27" s="1"/>
  <c r="BR46" i="27" a="1"/>
  <c r="BR46" i="27" s="1"/>
  <c r="BO44" i="27" a="1"/>
  <c r="BO44" i="27" s="1"/>
  <c r="BT41" i="27" a="1"/>
  <c r="BT41" i="27" s="1"/>
  <c r="BT39" i="27" a="1"/>
  <c r="BT39" i="27" s="1"/>
  <c r="BN37" i="27" a="1"/>
  <c r="BN37" i="27" s="1"/>
  <c r="BR106" i="27" a="1"/>
  <c r="BR106" i="27" s="1"/>
  <c r="BR103" i="27" a="1"/>
  <c r="BR103" i="27" s="1"/>
  <c r="BS100" i="27" a="1"/>
  <c r="BS100" i="27" s="1"/>
  <c r="BO95" i="27" a="1"/>
  <c r="BO95" i="27" s="1"/>
  <c r="BN93" i="27" a="1"/>
  <c r="BN93" i="27" s="1"/>
  <c r="BS90" i="27" a="1"/>
  <c r="BS90" i="27" s="1"/>
  <c r="BQ88" i="27" a="1"/>
  <c r="BQ88" i="27" s="1"/>
  <c r="BQ84" i="27" a="1"/>
  <c r="BQ84" i="27" s="1"/>
  <c r="BS82" i="27" a="1"/>
  <c r="BS82" i="27" s="1"/>
  <c r="BN79" i="27" a="1"/>
  <c r="BN79" i="27" s="1"/>
  <c r="BO73" i="27" a="1"/>
  <c r="BO73" i="27" s="1"/>
  <c r="BS61" i="27" a="1"/>
  <c r="BS61" i="27" s="1"/>
  <c r="BR58" i="27" a="1"/>
  <c r="BR58" i="27" s="1"/>
  <c r="BO55" i="27" a="1"/>
  <c r="BO55" i="27" s="1"/>
  <c r="BS50" i="27" a="1"/>
  <c r="BS50" i="27" s="1"/>
  <c r="BP42" i="27" a="1"/>
  <c r="BP42" i="27" s="1"/>
  <c r="BN39" i="27" a="1"/>
  <c r="BN39" i="27" s="1"/>
  <c r="BQ94" i="27" a="1"/>
  <c r="BQ94" i="27" s="1"/>
  <c r="BT83" i="27" a="1"/>
  <c r="BT83" i="27" s="1"/>
  <c r="BP80" i="27" a="1"/>
  <c r="BP80" i="27" s="1"/>
  <c r="BS76" i="27" a="1"/>
  <c r="BS76" i="27" s="1"/>
  <c r="BN68" i="27" a="1"/>
  <c r="BN68" i="27" s="1"/>
  <c r="BT64" i="27" a="1"/>
  <c r="BT64" i="27" s="1"/>
  <c r="BQ61" i="27" a="1"/>
  <c r="BQ61" i="27" s="1"/>
  <c r="BO58" i="27" a="1"/>
  <c r="BO58" i="27" s="1"/>
  <c r="BR54" i="27" a="1"/>
  <c r="BR54" i="27" s="1"/>
  <c r="BP50" i="27" a="1"/>
  <c r="BP50" i="27" s="1"/>
  <c r="BS47" i="27" a="1"/>
  <c r="BS47" i="27" s="1"/>
  <c r="BO45" i="27" a="1"/>
  <c r="BO45" i="27" s="1"/>
  <c r="BO43" i="27" a="1"/>
  <c r="BO43" i="27" s="1"/>
  <c r="BT40" i="27" a="1"/>
  <c r="BT40" i="27" s="1"/>
  <c r="BQ38" i="27" a="1"/>
  <c r="BQ38" i="27" s="1"/>
  <c r="BT105" i="27" a="1"/>
  <c r="BT105" i="27" s="1"/>
  <c r="BT102" i="27" a="1"/>
  <c r="BT102" i="27" s="1"/>
  <c r="BN100" i="27" a="1"/>
  <c r="BN100" i="27" s="1"/>
  <c r="BP97" i="27" a="1"/>
  <c r="BP97" i="27" s="1"/>
  <c r="BN95" i="27" a="1"/>
  <c r="BN95" i="27" s="1"/>
  <c r="BS92" i="27" a="1"/>
  <c r="BS92" i="27" s="1"/>
  <c r="BP90" i="27" a="1"/>
  <c r="BP90" i="27" s="1"/>
  <c r="BP88" i="27" a="1"/>
  <c r="BP88" i="27" s="1"/>
  <c r="BP84" i="27" a="1"/>
  <c r="BP84" i="27" s="1"/>
  <c r="BQ82" i="27" a="1"/>
  <c r="BQ82" i="27" s="1"/>
  <c r="BQ80" i="27" a="1"/>
  <c r="BQ80" i="27" s="1"/>
  <c r="BS78" i="27" a="1"/>
  <c r="BS78" i="27" s="1"/>
  <c r="BT76" i="27" a="1"/>
  <c r="BT76" i="27" s="1"/>
  <c r="BN75" i="27" a="1"/>
  <c r="BN75" i="27" s="1"/>
  <c r="BN73" i="27" a="1"/>
  <c r="BN73" i="27" s="1"/>
  <c r="BO68" i="27" a="1"/>
  <c r="BO68" i="27" s="1"/>
  <c r="BS66" i="27" a="1"/>
  <c r="BS66" i="27" s="1"/>
  <c r="BN65" i="27" a="1"/>
  <c r="BN65" i="27" s="1"/>
  <c r="BT59" i="27" a="1"/>
  <c r="BT59" i="27" s="1"/>
  <c r="BR56" i="27" a="1"/>
  <c r="BR56" i="27" s="1"/>
  <c r="BN55" i="27" a="1"/>
  <c r="BN55" i="27" s="1"/>
  <c r="BT51" i="27" a="1"/>
  <c r="BT51" i="27" s="1"/>
  <c r="BQ50" i="27" a="1"/>
  <c r="BQ50" i="27" s="1"/>
  <c r="BT47" i="27" a="1"/>
  <c r="BT47" i="27" s="1"/>
  <c r="BS46" i="27" a="1"/>
  <c r="BS46" i="27" s="1"/>
  <c r="BP45" i="27" a="1"/>
  <c r="BP45" i="27" s="1"/>
  <c r="BP44" i="27" a="1"/>
  <c r="BP44" i="27" s="1"/>
  <c r="BP43" i="27" a="1"/>
  <c r="BP43" i="27" s="1"/>
  <c r="BN42" i="27" a="1"/>
  <c r="BN42" i="27" s="1"/>
  <c r="BN41" i="27" a="1"/>
  <c r="BN41" i="27" s="1"/>
  <c r="BR38" i="27" a="1"/>
  <c r="BR38" i="27" s="1"/>
  <c r="BO37" i="27" a="1"/>
  <c r="BO37" i="27" s="1"/>
  <c r="BN105" i="27" a="1"/>
  <c r="BN105" i="27" s="1"/>
  <c r="BP102" i="27" a="1"/>
  <c r="BP102" i="27" s="1"/>
  <c r="BP99" i="27" a="1"/>
  <c r="BP99" i="27" s="1"/>
  <c r="BQ96" i="27" a="1"/>
  <c r="BQ96" i="27" s="1"/>
  <c r="BN94" i="27" a="1"/>
  <c r="BN94" i="27" s="1"/>
  <c r="BR91" i="27" a="1"/>
  <c r="BR91" i="27" s="1"/>
  <c r="BR89" i="27" a="1"/>
  <c r="BR89" i="27" s="1"/>
  <c r="BQ87" i="27" a="1"/>
  <c r="BQ87" i="27" s="1"/>
  <c r="BQ85" i="27" a="1"/>
  <c r="BQ85" i="27" s="1"/>
  <c r="BS83" i="27" a="1"/>
  <c r="BS83" i="27" s="1"/>
  <c r="BR81" i="27" a="1"/>
  <c r="BR81" i="27" s="1"/>
  <c r="BT79" i="27" a="1"/>
  <c r="BT79" i="27" s="1"/>
  <c r="BN78" i="27" a="1"/>
  <c r="BN78" i="27" s="1"/>
  <c r="BP74" i="27" a="1"/>
  <c r="BP74" i="27" s="1"/>
  <c r="BO69" i="27" a="1"/>
  <c r="BO69" i="27" s="1"/>
  <c r="BS67" i="27" a="1"/>
  <c r="BS67" i="27" s="1"/>
  <c r="BN66" i="27" a="1"/>
  <c r="BN66" i="27" s="1"/>
  <c r="BQ64" i="27" a="1"/>
  <c r="BQ64" i="27" s="1"/>
  <c r="BS62" i="27" a="1"/>
  <c r="BS62" i="27" s="1"/>
  <c r="BT60" i="27" a="1"/>
  <c r="BT60" i="27" s="1"/>
  <c r="BN56" i="27" a="1"/>
  <c r="BN56" i="27" s="1"/>
  <c r="BP54" i="27" a="1"/>
  <c r="BP54" i="27" s="1"/>
  <c r="BT52" i="27" a="1"/>
  <c r="BT52" i="27" s="1"/>
  <c r="BT49" i="27" a="1"/>
  <c r="BT49" i="27" s="1"/>
  <c r="BR48" i="27" a="1"/>
  <c r="BR48" i="27" s="1"/>
  <c r="BQ47" i="27" a="1"/>
  <c r="BQ47" i="27" s="1"/>
  <c r="BN45" i="27" a="1"/>
  <c r="BN45" i="27" s="1"/>
  <c r="BS42" i="27" a="1"/>
  <c r="BS42" i="27" s="1"/>
  <c r="BR40" i="27" a="1"/>
  <c r="BR40" i="27" s="1"/>
  <c r="BO38" i="27" a="1"/>
  <c r="BO38" i="27" s="1"/>
  <c r="BS36" i="27" a="1"/>
  <c r="BS36" i="27" s="1"/>
  <c r="BO92" i="27" a="1"/>
  <c r="BO92" i="27" s="1"/>
  <c r="BT86" i="27" a="1"/>
  <c r="BT86" i="27" s="1"/>
  <c r="BQ81" i="27" a="1"/>
  <c r="BQ81" i="27" s="1"/>
  <c r="BP76" i="27" a="1"/>
  <c r="BP76" i="27" s="1"/>
  <c r="BN69" i="27" a="1"/>
  <c r="BN69" i="27" s="1"/>
  <c r="BN64" i="27" a="1"/>
  <c r="BN64" i="27" s="1"/>
  <c r="BR59" i="27" a="1"/>
  <c r="BR59" i="27" s="1"/>
  <c r="BQ55" i="27" a="1"/>
  <c r="BQ55" i="27" s="1"/>
  <c r="BP51" i="27" a="1"/>
  <c r="BP51" i="27" s="1"/>
  <c r="BR47" i="27" a="1"/>
  <c r="BR47" i="27" s="1"/>
  <c r="BT44" i="27" a="1"/>
  <c r="BT44" i="27" s="1"/>
  <c r="BR41" i="27" a="1"/>
  <c r="BR41" i="27" s="1"/>
  <c r="BP38" i="27" a="1"/>
  <c r="BP38" i="27" s="1"/>
  <c r="BR93" i="27" a="1"/>
  <c r="BR93" i="27" s="1"/>
  <c r="BN82" i="27" a="1"/>
  <c r="BN82" i="27" s="1"/>
  <c r="BS55" i="27" a="1"/>
  <c r="BS55" i="27" s="1"/>
  <c r="BQ48" i="27" a="1"/>
  <c r="BQ48" i="27" s="1"/>
  <c r="BP105" i="27" a="1"/>
  <c r="BP105" i="27" s="1"/>
  <c r="BQ98" i="27" a="1"/>
  <c r="BQ98" i="27" s="1"/>
  <c r="BQ91" i="27" a="1"/>
  <c r="BQ91" i="27" s="1"/>
  <c r="BS85" i="27" a="1"/>
  <c r="BS85" i="27" s="1"/>
  <c r="BP81" i="27" a="1"/>
  <c r="BP81" i="27" s="1"/>
  <c r="BT75" i="27" a="1"/>
  <c r="BT75" i="27" s="1"/>
  <c r="BO59" i="27" a="1"/>
  <c r="BO59" i="27" s="1"/>
  <c r="BQ54" i="27" a="1"/>
  <c r="BQ54" i="27" s="1"/>
  <c r="BT50" i="27" a="1"/>
  <c r="BT50" i="27" s="1"/>
  <c r="BO47" i="27" a="1"/>
  <c r="BO47" i="27" s="1"/>
  <c r="BN44" i="27" a="1"/>
  <c r="BN44" i="27" s="1"/>
  <c r="BN38" i="27" a="1"/>
  <c r="BN38" i="27" s="1"/>
  <c r="BT95" i="27" a="1"/>
  <c r="BT95" i="27" s="1"/>
  <c r="BQ62" i="27" a="1"/>
  <c r="BQ62" i="27" s="1"/>
  <c r="BO46" i="27" a="1"/>
  <c r="BO46" i="27" s="1"/>
  <c r="BT36" i="27" a="1"/>
  <c r="BT36" i="27" s="1"/>
  <c r="BQ102" i="27" a="1"/>
  <c r="BQ102" i="27" s="1"/>
  <c r="BS95" i="27" a="1"/>
  <c r="BS95" i="27" s="1"/>
  <c r="BN74" i="27" a="1"/>
  <c r="BN74" i="27" s="1"/>
  <c r="BP62" i="27" a="1"/>
  <c r="BP62" i="27" s="1"/>
  <c r="BR57" i="27" a="1"/>
  <c r="BR57" i="27" s="1"/>
  <c r="BR49" i="27" a="1"/>
  <c r="BR49" i="27" s="1"/>
  <c r="BP40" i="27" a="1"/>
  <c r="BP40" i="27" s="1"/>
  <c r="BR101" i="27" a="1"/>
  <c r="BR101" i="27" s="1"/>
  <c r="BT88" i="27" a="1"/>
  <c r="BT88" i="27" s="1"/>
  <c r="BO78" i="27" a="1"/>
  <c r="BO78" i="27" s="1"/>
  <c r="BT65" i="27" a="1"/>
  <c r="BT65" i="27" s="1"/>
  <c r="BO57" i="27" a="1"/>
  <c r="BO57" i="27" s="1"/>
  <c r="BS48" i="27" a="1"/>
  <c r="BS48" i="27" s="1"/>
  <c r="BQ39" i="27" a="1"/>
  <c r="BQ39" i="27" s="1"/>
  <c r="BS93" i="27" a="1"/>
  <c r="BS93" i="27" s="1"/>
  <c r="BT77" i="27" a="1"/>
  <c r="BT77" i="27" s="1"/>
  <c r="BR65" i="27" a="1"/>
  <c r="BR65" i="27" s="1"/>
  <c r="BO56" i="27" a="1"/>
  <c r="BO56" i="27" s="1"/>
  <c r="BR42" i="27" a="1"/>
  <c r="BR42" i="27" s="1"/>
  <c r="BQ99" i="27" a="1"/>
  <c r="BQ99" i="27" s="1"/>
  <c r="BP87" i="27" a="1"/>
  <c r="BP87" i="27" s="1"/>
  <c r="BR77" i="27" a="1"/>
  <c r="BR77" i="27" s="1"/>
  <c r="BS51" i="27" a="1"/>
  <c r="BS51" i="27" s="1"/>
  <c r="BS41" i="27" a="1"/>
  <c r="BS41" i="27" s="1"/>
  <c r="BP104" i="27" a="1"/>
  <c r="BP104" i="27" s="1"/>
  <c r="BS96" i="27" a="1"/>
  <c r="BS96" i="27" s="1"/>
  <c r="BP91" i="27" a="1"/>
  <c r="BP91" i="27" s="1"/>
  <c r="BO85" i="27" a="1"/>
  <c r="BO85" i="27" s="1"/>
  <c r="BO80" i="27" a="1"/>
  <c r="BO80" i="27" s="1"/>
  <c r="BS75" i="27" a="1"/>
  <c r="BS75" i="27" s="1"/>
  <c r="BR67" i="27" a="1"/>
  <c r="BR67" i="27" s="1"/>
  <c r="BO54" i="27" a="1"/>
  <c r="BO54" i="27" s="1"/>
  <c r="BN50" i="27" a="1"/>
  <c r="BN50" i="27" s="1"/>
  <c r="BN47" i="27" a="1"/>
  <c r="BN47" i="27" s="1"/>
  <c r="BS43" i="27" a="1"/>
  <c r="BS43" i="27" s="1"/>
  <c r="BS40" i="27" a="1"/>
  <c r="BS40" i="27" s="1"/>
  <c r="BT37" i="27" a="1"/>
  <c r="BT37" i="27" s="1"/>
  <c r="BO104" i="27" a="1"/>
  <c r="BO104" i="27" s="1"/>
  <c r="BN85" i="27" a="1"/>
  <c r="BN85" i="27" s="1"/>
  <c r="BS79" i="27" a="1"/>
  <c r="BS79" i="27" s="1"/>
  <c r="BR74" i="27" a="1"/>
  <c r="BR74" i="27" s="1"/>
  <c r="BO67" i="27" a="1"/>
  <c r="BO67" i="27" s="1"/>
  <c r="BS57" i="27" a="1"/>
  <c r="BS57" i="27" s="1"/>
  <c r="BR43" i="27" a="1"/>
  <c r="BR43" i="27" s="1"/>
  <c r="BQ89" i="27" a="1"/>
  <c r="BQ89" i="27" s="1"/>
  <c r="BO66" i="27" a="1"/>
  <c r="BO66" i="27" s="1"/>
  <c r="BO53" i="27" a="1"/>
  <c r="BO53" i="27" s="1"/>
  <c r="BN46" i="27" a="1"/>
  <c r="BN46" i="27" s="1"/>
  <c r="BP36" i="27" a="1"/>
  <c r="BP36" i="27" s="1"/>
  <c r="BO94" i="27" a="1"/>
  <c r="BO94" i="27" s="1"/>
  <c r="BP83" i="27" a="1"/>
  <c r="BP83" i="27" s="1"/>
  <c r="BT73" i="27" a="1"/>
  <c r="BT73" i="27" s="1"/>
  <c r="BP61" i="27" a="1"/>
  <c r="BP61" i="27" s="1"/>
  <c r="BS52" i="27" a="1"/>
  <c r="BS52" i="27" s="1"/>
  <c r="BT45" i="27" a="1"/>
  <c r="BT45" i="27" s="1"/>
  <c r="BO36" i="27" a="1"/>
  <c r="BO36" i="27" s="1"/>
  <c r="BP101" i="27" a="1"/>
  <c r="BP101" i="27" s="1"/>
  <c r="BR87" i="27" a="1"/>
  <c r="BR87" i="27" s="1"/>
  <c r="BO83" i="27" a="1"/>
  <c r="BO83" i="27" s="1"/>
  <c r="BS60" i="27" a="1"/>
  <c r="BS60" i="27" s="1"/>
  <c r="BR52" i="27" a="1"/>
  <c r="BR52" i="27" s="1"/>
  <c r="BP39" i="27" a="1"/>
  <c r="BP39" i="27" s="1"/>
  <c r="BR60" i="27" a="1"/>
  <c r="BR60" i="27" s="1"/>
  <c r="BC237" i="27" a="1"/>
  <c r="BC237" i="27" s="1"/>
  <c r="BF238" i="27" a="1"/>
  <c r="BF238" i="27" s="1"/>
  <c r="BH239" i="27" a="1"/>
  <c r="BH239" i="27" s="1"/>
  <c r="BF240" i="27" a="1"/>
  <c r="BF240" i="27" s="1"/>
  <c r="BD241" i="27" a="1"/>
  <c r="BD241" i="27" s="1"/>
  <c r="BI241" i="27" a="1"/>
  <c r="BI241" i="27" s="1"/>
  <c r="BD243" i="27" a="1"/>
  <c r="BD243" i="27" s="1"/>
  <c r="BG244" i="27" a="1"/>
  <c r="BG244" i="27" s="1"/>
  <c r="BI245" i="27" a="1"/>
  <c r="BI245" i="27" s="1"/>
  <c r="BG246" i="27" a="1"/>
  <c r="BG246" i="27" s="1"/>
  <c r="BI247" i="27" a="1"/>
  <c r="BI247" i="27" s="1"/>
  <c r="BG248" i="27" a="1"/>
  <c r="BG248" i="27" s="1"/>
  <c r="BG250" i="27" a="1"/>
  <c r="BG250" i="27" s="1"/>
  <c r="BI251" i="27" a="1"/>
  <c r="BI251" i="27" s="1"/>
  <c r="BE253" i="27" a="1"/>
  <c r="BE253" i="27" s="1"/>
  <c r="BC254" i="27" a="1"/>
  <c r="BC254" i="27" s="1"/>
  <c r="BH254" i="27" a="1"/>
  <c r="BH254" i="27" s="1"/>
  <c r="BF255" i="27" a="1"/>
  <c r="BF255" i="27" s="1"/>
  <c r="BF257" i="27" a="1"/>
  <c r="BF257" i="27" s="1"/>
  <c r="BI258" i="27" a="1"/>
  <c r="BI258" i="27" s="1"/>
  <c r="BD260" i="27" a="1"/>
  <c r="BD260" i="27" s="1"/>
  <c r="BI260" i="27" a="1"/>
  <c r="BI260" i="27" s="1"/>
  <c r="BG261" i="27" a="1"/>
  <c r="BG261" i="27" s="1"/>
  <c r="BE262" i="27" a="1"/>
  <c r="BE262" i="27" s="1"/>
  <c r="BC263" i="27" a="1"/>
  <c r="BC263" i="27" s="1"/>
  <c r="BE264" i="27" a="1"/>
  <c r="BE264" i="27" s="1"/>
  <c r="BH265" i="27" a="1"/>
  <c r="BH265" i="27" s="1"/>
  <c r="BC267" i="27" a="1"/>
  <c r="BC267" i="27" s="1"/>
  <c r="BE268" i="27" a="1"/>
  <c r="BE268" i="27" s="1"/>
  <c r="BC269" i="27" a="1"/>
  <c r="BC269" i="27" s="1"/>
  <c r="BF270" i="27" a="1"/>
  <c r="BF270" i="27" s="1"/>
  <c r="BH271" i="27" a="1"/>
  <c r="BH271" i="27" s="1"/>
  <c r="BF272" i="27" a="1"/>
  <c r="BF272" i="27" s="1"/>
  <c r="BD273" i="27" a="1"/>
  <c r="BD273" i="27" s="1"/>
  <c r="BC274" i="27" a="1"/>
  <c r="BC274" i="27" s="1"/>
  <c r="BH236" i="27" a="1"/>
  <c r="BH236" i="27" s="1"/>
  <c r="BD195" i="27" a="1"/>
  <c r="BD195" i="27" s="1"/>
  <c r="BF197" i="27" a="1"/>
  <c r="BF197" i="27" s="1"/>
  <c r="BH199" i="27" a="1"/>
  <c r="BH199" i="27" s="1"/>
  <c r="BC202" i="27" a="1"/>
  <c r="BC202" i="27" s="1"/>
  <c r="BD237" i="27" a="1"/>
  <c r="BD237" i="27" s="1"/>
  <c r="BI237" i="27" a="1"/>
  <c r="BI237" i="27" s="1"/>
  <c r="BD239" i="27" a="1"/>
  <c r="BD239" i="27" s="1"/>
  <c r="BG240" i="27" a="1"/>
  <c r="BG240" i="27" s="1"/>
  <c r="BG242" i="27" a="1"/>
  <c r="BG242" i="27" s="1"/>
  <c r="BI243" i="27" a="1"/>
  <c r="BI243" i="27" s="1"/>
  <c r="BE245" i="27" a="1"/>
  <c r="BE245" i="27" s="1"/>
  <c r="BE247" i="27" a="1"/>
  <c r="BE247" i="27" s="1"/>
  <c r="BC248" i="27" a="1"/>
  <c r="BC248" i="27" s="1"/>
  <c r="BE249" i="27" a="1"/>
  <c r="BE249" i="27" s="1"/>
  <c r="BC250" i="27" a="1"/>
  <c r="BC250" i="27" s="1"/>
  <c r="BE251" i="27" a="1"/>
  <c r="BE251" i="27" s="1"/>
  <c r="BC252" i="27" a="1"/>
  <c r="BC252" i="27" s="1"/>
  <c r="BH252" i="27" a="1"/>
  <c r="BH252" i="27" s="1"/>
  <c r="BF253" i="27" a="1"/>
  <c r="BF253" i="27" s="1"/>
  <c r="BI254" i="27" a="1"/>
  <c r="BI254" i="27" s="1"/>
  <c r="BD256" i="27" a="1"/>
  <c r="BD256" i="27" s="1"/>
  <c r="BI256" i="27" a="1"/>
  <c r="BI256" i="27" s="1"/>
  <c r="BD258" i="27" a="1"/>
  <c r="BD258" i="27" s="1"/>
  <c r="BG259" i="27" a="1"/>
  <c r="BG259" i="27" s="1"/>
  <c r="BH261" i="27" a="1"/>
  <c r="BH261" i="27" s="1"/>
  <c r="BF262" i="27" a="1"/>
  <c r="BF262" i="27" s="1"/>
  <c r="BH263" i="27" a="1"/>
  <c r="BH263" i="27" s="1"/>
  <c r="BC265" i="27" a="1"/>
  <c r="BC265" i="27" s="1"/>
  <c r="BF266" i="27" a="1"/>
  <c r="BF266" i="27" s="1"/>
  <c r="BH267" i="27" a="1"/>
  <c r="BH267" i="27" s="1"/>
  <c r="BF268" i="27" a="1"/>
  <c r="BF268" i="27" s="1"/>
  <c r="BD269" i="27" a="1"/>
  <c r="BD269" i="27" s="1"/>
  <c r="BI269" i="27" a="1"/>
  <c r="BI269" i="27" s="1"/>
  <c r="BD271" i="27" a="1"/>
  <c r="BD271" i="27" s="1"/>
  <c r="BG272" i="27" a="1"/>
  <c r="BG272" i="27" s="1"/>
  <c r="BD274" i="27" a="1"/>
  <c r="BD274" i="27" s="1"/>
  <c r="BG236" i="27" a="1"/>
  <c r="BG236" i="27" s="1"/>
  <c r="BF237" i="27" a="1"/>
  <c r="BF237" i="27" s="1"/>
  <c r="BH238" i="27" a="1"/>
  <c r="BH238" i="27" s="1"/>
  <c r="BF239" i="27" a="1"/>
  <c r="BF239" i="27" s="1"/>
  <c r="BD242" i="27" a="1"/>
  <c r="BD242" i="27" s="1"/>
  <c r="BI242" i="27" a="1"/>
  <c r="BI242" i="27" s="1"/>
  <c r="BD244" i="27" a="1"/>
  <c r="BD244" i="27" s="1"/>
  <c r="BI244" i="27" a="1"/>
  <c r="BI244" i="27" s="1"/>
  <c r="BD246" i="27" a="1"/>
  <c r="BD246" i="27" s="1"/>
  <c r="BG247" i="27" a="1"/>
  <c r="BG247" i="27" s="1"/>
  <c r="BI248" i="27" a="1"/>
  <c r="BI248" i="27" s="1"/>
  <c r="BG249" i="27" a="1"/>
  <c r="BG249" i="27" s="1"/>
  <c r="BE250" i="27" a="1"/>
  <c r="BE250" i="27" s="1"/>
  <c r="BG251" i="27" a="1"/>
  <c r="BG251" i="27" s="1"/>
  <c r="BH253" i="27" a="1"/>
  <c r="BH253" i="27" s="1"/>
  <c r="BF254" i="27" a="1"/>
  <c r="BF254" i="27" s="1"/>
  <c r="BD360" i="27" s="1" a="1"/>
  <c r="BD360" i="27" s="1"/>
  <c r="D23" i="51" s="1"/>
  <c r="BH255" i="27" a="1"/>
  <c r="BH255" i="27" s="1"/>
  <c r="BF256" i="27" a="1"/>
  <c r="BF256" i="27" s="1"/>
  <c r="BD257" i="27" a="1"/>
  <c r="BD257" i="27" s="1"/>
  <c r="BD259" i="27" a="1"/>
  <c r="BD259" i="27" s="1"/>
  <c r="BG260" i="27" a="1"/>
  <c r="BG260" i="27" s="1"/>
  <c r="BE263" i="27" a="1"/>
  <c r="BE263" i="27" s="1"/>
  <c r="BC264" i="27" a="1"/>
  <c r="BC264" i="27" s="1"/>
  <c r="BE265" i="27" a="1"/>
  <c r="BE265" i="27" s="1"/>
  <c r="BC266" i="27" a="1"/>
  <c r="BC266" i="27" s="1"/>
  <c r="BE267" i="27" a="1"/>
  <c r="BE267" i="27" s="1"/>
  <c r="BC268" i="27" a="1"/>
  <c r="BC268" i="27" s="1"/>
  <c r="BH268" i="27" a="1"/>
  <c r="BH268" i="27" s="1"/>
  <c r="BF269" i="27" a="1"/>
  <c r="BF269" i="27" s="1"/>
  <c r="BH270" i="27" a="1"/>
  <c r="BH270" i="27" s="1"/>
  <c r="BF271" i="27" a="1"/>
  <c r="BF271" i="27" s="1"/>
  <c r="BG273" i="27" a="1"/>
  <c r="BG273" i="27" s="1"/>
  <c r="BG274" i="27" a="1"/>
  <c r="BG274" i="27" s="1"/>
  <c r="BD236" i="27" a="1"/>
  <c r="BD236" i="27" s="1"/>
  <c r="BE196" i="27" a="1"/>
  <c r="BE196" i="27" s="1"/>
  <c r="BG198" i="27" a="1"/>
  <c r="BG198" i="27" s="1"/>
  <c r="BI200" i="27" a="1"/>
  <c r="BI200" i="27" s="1"/>
  <c r="BD203" i="27" a="1"/>
  <c r="BD203" i="27" s="1"/>
  <c r="BF205" i="27" a="1"/>
  <c r="BF205" i="27" s="1"/>
  <c r="BH207" i="27" a="1"/>
  <c r="BH207" i="27" s="1"/>
  <c r="BC210" i="27" a="1"/>
  <c r="BC210" i="27" s="1"/>
  <c r="BE212" i="27" a="1"/>
  <c r="BE212" i="27" s="1"/>
  <c r="BG214" i="27" a="1"/>
  <c r="BG214" i="27" s="1"/>
  <c r="BI216" i="27" a="1"/>
  <c r="BI216" i="27" s="1"/>
  <c r="BD238" i="27" a="1"/>
  <c r="BD238" i="27" s="1"/>
  <c r="BI238" i="27" a="1"/>
  <c r="BI238" i="27" s="1"/>
  <c r="BD240" i="27" a="1"/>
  <c r="BD240" i="27" s="1"/>
  <c r="BI240" i="27" a="1"/>
  <c r="BI240" i="27" s="1"/>
  <c r="BG241" i="27" a="1"/>
  <c r="BG241" i="27" s="1"/>
  <c r="BE242" i="27" a="1"/>
  <c r="BE242" i="27" s="1"/>
  <c r="BG243" i="27" a="1"/>
  <c r="BG243" i="27" s="1"/>
  <c r="BG245" i="27" a="1"/>
  <c r="BG245" i="27" s="1"/>
  <c r="BE246" i="27" a="1"/>
  <c r="BE246" i="27" s="1"/>
  <c r="BC247" i="27" a="1"/>
  <c r="BC247" i="27" s="1"/>
  <c r="BE248" i="27" a="1"/>
  <c r="BE248" i="27" s="1"/>
  <c r="BH249" i="27" a="1"/>
  <c r="BH249" i="27" s="1"/>
  <c r="BC251" i="27" a="1"/>
  <c r="BC251" i="27" s="1"/>
  <c r="BE252" i="27" a="1"/>
  <c r="BE252" i="27" s="1"/>
  <c r="BC253" i="27" a="1"/>
  <c r="BC253" i="27" s="1"/>
  <c r="BD255" i="27" a="1"/>
  <c r="BD255" i="27" s="1"/>
  <c r="BG256" i="27" a="1"/>
  <c r="BG256" i="27" s="1"/>
  <c r="BI257" i="27" a="1"/>
  <c r="BI257" i="27" s="1"/>
  <c r="BG258" i="27" a="1"/>
  <c r="BG258" i="27" s="1"/>
  <c r="BI259" i="27" a="1"/>
  <c r="BI259" i="27" s="1"/>
  <c r="BE261" i="27" a="1"/>
  <c r="BE261" i="27" s="1"/>
  <c r="BC262" i="27" a="1"/>
  <c r="BC262" i="27" s="1"/>
  <c r="BH262" i="27" a="1"/>
  <c r="BH262" i="27" s="1"/>
  <c r="BF263" i="27" a="1"/>
  <c r="BF263" i="27" s="1"/>
  <c r="BH264" i="27" a="1"/>
  <c r="BH264" i="27" s="1"/>
  <c r="BF265" i="27" a="1"/>
  <c r="BF265" i="27" s="1"/>
  <c r="BH266" i="27" a="1"/>
  <c r="BH266" i="27" s="1"/>
  <c r="BF267" i="27" a="1"/>
  <c r="BF267" i="27" s="1"/>
  <c r="BD270" i="27" a="1"/>
  <c r="BD270" i="27" s="1"/>
  <c r="BI270" i="27" a="1"/>
  <c r="BI270" i="27" s="1"/>
  <c r="BD272" i="27" a="1"/>
  <c r="BD272" i="27" s="1"/>
  <c r="BI272" i="27" a="1"/>
  <c r="BI272" i="27" s="1"/>
  <c r="BH273" i="27" a="1"/>
  <c r="BH273" i="27" s="1"/>
  <c r="BH274" i="27" a="1"/>
  <c r="BH274" i="27" s="1"/>
  <c r="BC236" i="27" a="1"/>
  <c r="BC236" i="27" s="1"/>
  <c r="BG195" i="27" a="1"/>
  <c r="BG195" i="27" s="1"/>
  <c r="BF196" i="27" a="1"/>
  <c r="BF196" i="27" s="1"/>
  <c r="BD197" i="27" a="1"/>
  <c r="BD197" i="27" s="1"/>
  <c r="BI197" i="27" a="1"/>
  <c r="BI197" i="27" s="1"/>
  <c r="BH198" i="27" a="1"/>
  <c r="BH198" i="27" s="1"/>
  <c r="BF199" i="27" a="1"/>
  <c r="BF199" i="27" s="1"/>
  <c r="BD200" i="27" a="1"/>
  <c r="BD200" i="27" s="1"/>
  <c r="BC201" i="27" a="1"/>
  <c r="BC201" i="27" s="1"/>
  <c r="BH201" i="27" a="1"/>
  <c r="BH201" i="27" s="1"/>
  <c r="BF202" i="27" a="1"/>
  <c r="BF202" i="27" s="1"/>
  <c r="BE203" i="27" a="1"/>
  <c r="BE203" i="27" s="1"/>
  <c r="BG238" i="27" a="1"/>
  <c r="BG238" i="27" s="1"/>
  <c r="BI239" i="27" a="1"/>
  <c r="BI239" i="27" s="1"/>
  <c r="BE241" i="27" a="1"/>
  <c r="BE241" i="27" s="1"/>
  <c r="BC244" i="27" a="1"/>
  <c r="BC244" i="27" s="1"/>
  <c r="BH246" i="27" a="1"/>
  <c r="BH246" i="27" s="1"/>
  <c r="BF249" i="27" a="1"/>
  <c r="BF249" i="27" s="1"/>
  <c r="BH250" i="27" a="1"/>
  <c r="BH250" i="27" s="1"/>
  <c r="BG257" i="27" a="1"/>
  <c r="BG257" i="27" s="1"/>
  <c r="BC259" i="27" a="1"/>
  <c r="BC259" i="27" s="1"/>
  <c r="BE260" i="27" a="1"/>
  <c r="BE260" i="27" s="1"/>
  <c r="BD263" i="27" a="1"/>
  <c r="BD263" i="27" s="1"/>
  <c r="BF264" i="27" a="1"/>
  <c r="BF264" i="27" s="1"/>
  <c r="BD370" i="27" s="1" a="1"/>
  <c r="BD370" i="27" s="1"/>
  <c r="D30" i="51" s="1"/>
  <c r="BI265" i="27" a="1"/>
  <c r="BI265" i="27" s="1"/>
  <c r="BD267" i="27" a="1"/>
  <c r="BD267" i="27" s="1"/>
  <c r="BG268" i="27" a="1"/>
  <c r="BG268" i="27" s="1"/>
  <c r="BE274" i="27" a="1"/>
  <c r="BE274" i="27" s="1"/>
  <c r="BE195" i="27" a="1"/>
  <c r="BE195" i="27" s="1"/>
  <c r="BI198" i="27" a="1"/>
  <c r="BI198" i="27" s="1"/>
  <c r="BC200" i="27" a="1"/>
  <c r="BC200" i="27" s="1"/>
  <c r="BE201" i="27" a="1"/>
  <c r="BE201" i="27" s="1"/>
  <c r="BG202" i="27" a="1"/>
  <c r="BG202" i="27" s="1"/>
  <c r="BH203" i="27" a="1"/>
  <c r="BH203" i="27" s="1"/>
  <c r="BG204" i="27" a="1"/>
  <c r="BG204" i="27" s="1"/>
  <c r="BG205" i="27" a="1"/>
  <c r="BG205" i="27" s="1"/>
  <c r="BE207" i="27" a="1"/>
  <c r="BE207" i="27" s="1"/>
  <c r="BC209" i="27" a="1"/>
  <c r="BC209" i="27" s="1"/>
  <c r="BH210" i="27" a="1"/>
  <c r="BH210" i="27" s="1"/>
  <c r="BG211" i="27" a="1"/>
  <c r="BG211" i="27" s="1"/>
  <c r="BE213" i="27" a="1"/>
  <c r="BE213" i="27" s="1"/>
  <c r="BC215" i="27" a="1"/>
  <c r="BC215" i="27" s="1"/>
  <c r="BE363" i="27" s="1" a="1"/>
  <c r="BE363" i="27" s="1"/>
  <c r="E26" i="51" s="1"/>
  <c r="BH216" i="27" a="1"/>
  <c r="BH216" i="27" s="1"/>
  <c r="BD219" i="27" a="1"/>
  <c r="BD219" i="27" s="1"/>
  <c r="BF221" i="27" a="1"/>
  <c r="BF221" i="27" s="1"/>
  <c r="BH223" i="27" a="1"/>
  <c r="BH223" i="27" s="1"/>
  <c r="BC226" i="27" a="1"/>
  <c r="BC226" i="27" s="1"/>
  <c r="BE228" i="27" a="1"/>
  <c r="BE228" i="27" s="1"/>
  <c r="BG230" i="27" a="1"/>
  <c r="BG230" i="27" s="1"/>
  <c r="BD232" i="27" a="1"/>
  <c r="BD232" i="27" s="1"/>
  <c r="BH194" i="27" a="1"/>
  <c r="BH194" i="27" s="1"/>
  <c r="BE214" i="27" a="1"/>
  <c r="BE214" i="27" s="1"/>
  <c r="BC217" i="27" a="1"/>
  <c r="BC217" i="27" s="1"/>
  <c r="BF218" i="27" a="1"/>
  <c r="BF218" i="27" s="1"/>
  <c r="BC220" i="27" a="1"/>
  <c r="BC220" i="27" s="1"/>
  <c r="BG221" i="27" a="1"/>
  <c r="BG221" i="27" s="1"/>
  <c r="BC223" i="27" a="1"/>
  <c r="BC223" i="27" s="1"/>
  <c r="BG224" i="27" a="1"/>
  <c r="BG224" i="27" s="1"/>
  <c r="BE225" i="27" a="1"/>
  <c r="BE225" i="27" s="1"/>
  <c r="BI226" i="27" a="1"/>
  <c r="BI226" i="27" s="1"/>
  <c r="BF228" i="27" a="1"/>
  <c r="BF228" i="27" s="1"/>
  <c r="BI229" i="27" a="1"/>
  <c r="BI229" i="27" s="1"/>
  <c r="BF231" i="27" a="1"/>
  <c r="BF231" i="27" s="1"/>
  <c r="BE237" i="27" a="1"/>
  <c r="BE237" i="27" s="1"/>
  <c r="BC240" i="27" a="1"/>
  <c r="BC240" i="27" s="1"/>
  <c r="BF241" i="27" a="1"/>
  <c r="BF241" i="27" s="1"/>
  <c r="BH242" i="27" a="1"/>
  <c r="BH242" i="27" s="1"/>
  <c r="BF245" i="27" a="1"/>
  <c r="BF245" i="27" s="1"/>
  <c r="BI246" i="27" a="1"/>
  <c r="BI246" i="27" s="1"/>
  <c r="BD248" i="27" a="1"/>
  <c r="BD248" i="27" s="1"/>
  <c r="BI250" i="27" a="1"/>
  <c r="BI250" i="27" s="1"/>
  <c r="BD252" i="27" a="1"/>
  <c r="BD252" i="27" s="1"/>
  <c r="BG253" i="27" a="1"/>
  <c r="BG253" i="27" s="1"/>
  <c r="BC255" i="27" a="1"/>
  <c r="BC255" i="27" s="1"/>
  <c r="BE256" i="27" a="1"/>
  <c r="BE256" i="27" s="1"/>
  <c r="BH257" i="27" a="1"/>
  <c r="BH257" i="27" s="1"/>
  <c r="BF260" i="27" a="1"/>
  <c r="BF260" i="27" s="1"/>
  <c r="BI261" i="27" a="1"/>
  <c r="BI261" i="27" s="1"/>
  <c r="BG264" i="27" a="1"/>
  <c r="BG264" i="27" s="1"/>
  <c r="BC270" i="27" a="1"/>
  <c r="BC270" i="27" s="1"/>
  <c r="BE271" i="27" a="1"/>
  <c r="BE271" i="27" s="1"/>
  <c r="BH272" i="27" a="1"/>
  <c r="BH272" i="27" s="1"/>
  <c r="BF274" i="27" a="1"/>
  <c r="BF274" i="27" s="1"/>
  <c r="BG196" i="27" a="1"/>
  <c r="BG196" i="27" s="1"/>
  <c r="BH197" i="27" a="1"/>
  <c r="BH197" i="27" s="1"/>
  <c r="BC199" i="27" a="1"/>
  <c r="BC199" i="27" s="1"/>
  <c r="BE200" i="27" a="1"/>
  <c r="BE200" i="27" s="1"/>
  <c r="BE348" i="27" s="1" a="1"/>
  <c r="BE348" i="27" s="1"/>
  <c r="E14" i="51" s="1"/>
  <c r="BF201" i="27" a="1"/>
  <c r="BF201" i="27" s="1"/>
  <c r="BH202" i="27" a="1"/>
  <c r="BH202" i="27" s="1"/>
  <c r="BI203" i="27" a="1"/>
  <c r="BI203" i="27" s="1"/>
  <c r="BH204" i="27" a="1"/>
  <c r="BH204" i="27" s="1"/>
  <c r="BF206" i="27" a="1"/>
  <c r="BF206" i="27" s="1"/>
  <c r="BD208" i="27" a="1"/>
  <c r="BD208" i="27" s="1"/>
  <c r="BI209" i="27" a="1"/>
  <c r="BI209" i="27" s="1"/>
  <c r="BI210" i="27" a="1"/>
  <c r="BI210" i="27" s="1"/>
  <c r="BH211" i="27" a="1"/>
  <c r="BH211" i="27" s="1"/>
  <c r="BG212" i="27" a="1"/>
  <c r="BG212" i="27" s="1"/>
  <c r="BF213" i="27" a="1"/>
  <c r="BF213" i="27" s="1"/>
  <c r="BD215" i="27" a="1"/>
  <c r="BD215" i="27" s="1"/>
  <c r="BC216" i="27" a="1"/>
  <c r="BC216" i="27" s="1"/>
  <c r="BH217" i="27" a="1"/>
  <c r="BH217" i="27" s="1"/>
  <c r="BE219" i="27" a="1"/>
  <c r="BE219" i="27" s="1"/>
  <c r="BH220" i="27" a="1"/>
  <c r="BH220" i="27" s="1"/>
  <c r="BE222" i="27" a="1"/>
  <c r="BE222" i="27" s="1"/>
  <c r="BI223" i="27" a="1"/>
  <c r="BI223" i="27" s="1"/>
  <c r="BD226" i="27" a="1"/>
  <c r="BD226" i="27" s="1"/>
  <c r="BG227" i="27" a="1"/>
  <c r="BG227" i="27" s="1"/>
  <c r="BD229" i="27" a="1"/>
  <c r="BD229" i="27" s="1"/>
  <c r="BH230" i="27" a="1"/>
  <c r="BH230" i="27" s="1"/>
  <c r="BC242" i="27" a="1"/>
  <c r="BC242" i="27" s="1"/>
  <c r="BE243" i="27" a="1"/>
  <c r="BE243" i="27" s="1"/>
  <c r="BH244" i="27" a="1"/>
  <c r="BH244" i="27" s="1"/>
  <c r="BC246" i="27" a="1"/>
  <c r="BC246" i="27" s="1"/>
  <c r="BF247" i="27" a="1"/>
  <c r="BF247" i="27" s="1"/>
  <c r="BH248" i="27" a="1"/>
  <c r="BH248" i="27" s="1"/>
  <c r="BF251" i="27" a="1"/>
  <c r="BF251" i="27" s="1"/>
  <c r="BD254" i="27" a="1"/>
  <c r="BD254" i="27" s="1"/>
  <c r="BG255" i="27" a="1"/>
  <c r="BG255" i="27" s="1"/>
  <c r="BE258" i="27" a="1"/>
  <c r="BE258" i="27" s="1"/>
  <c r="BC261" i="27" a="1"/>
  <c r="BC261" i="27" s="1"/>
  <c r="BD265" i="27" a="1"/>
  <c r="BD265" i="27" s="1"/>
  <c r="BG270" i="27" a="1"/>
  <c r="BG270" i="27" s="1"/>
  <c r="BI271" i="27" a="1"/>
  <c r="BI271" i="27" s="1"/>
  <c r="BE273" i="27" a="1"/>
  <c r="BE273" i="27" s="1"/>
  <c r="BF236" i="27" a="1"/>
  <c r="BF236" i="27" s="1"/>
  <c r="BD342" i="27" s="1" a="1"/>
  <c r="BD342" i="27" s="1"/>
  <c r="BI195" i="27" a="1"/>
  <c r="BI195" i="27" s="1"/>
  <c r="BC197" i="27" a="1"/>
  <c r="BC197" i="27" s="1"/>
  <c r="BE198" i="27" a="1"/>
  <c r="BE198" i="27" s="1"/>
  <c r="BI201" i="27" a="1"/>
  <c r="BI201" i="27" s="1"/>
  <c r="BC203" i="27" a="1"/>
  <c r="BC203" i="27" s="1"/>
  <c r="BD204" i="27" a="1"/>
  <c r="BD204" i="27" s="1"/>
  <c r="BI205" i="27" a="1"/>
  <c r="BI205" i="27" s="1"/>
  <c r="BG207" i="27" a="1"/>
  <c r="BG207" i="27" s="1"/>
  <c r="BG208" i="27" a="1"/>
  <c r="BG208" i="27" s="1"/>
  <c r="BF209" i="27" a="1"/>
  <c r="BF209" i="27" s="1"/>
  <c r="BE210" i="27" a="1"/>
  <c r="BE210" i="27" s="1"/>
  <c r="BD211" i="27" a="1"/>
  <c r="BD211" i="27" s="1"/>
  <c r="BC212" i="27" a="1"/>
  <c r="BC212" i="27" s="1"/>
  <c r="BI212" i="27" a="1"/>
  <c r="BI212" i="27" s="1"/>
  <c r="BH213" i="27" a="1"/>
  <c r="BH213" i="27" s="1"/>
  <c r="BH214" i="27" a="1"/>
  <c r="BH214" i="27" s="1"/>
  <c r="BF216" i="27" a="1"/>
  <c r="BF216" i="27" s="1"/>
  <c r="BC218" i="27" a="1"/>
  <c r="BC218" i="27" s="1"/>
  <c r="BE220" i="27" a="1"/>
  <c r="BE220" i="27" s="1"/>
  <c r="BG222" i="27" a="1"/>
  <c r="BG222" i="27" s="1"/>
  <c r="BI224" i="27" a="1"/>
  <c r="BI224" i="27" s="1"/>
  <c r="BD227" i="27" a="1"/>
  <c r="BD227" i="27" s="1"/>
  <c r="BF229" i="27" a="1"/>
  <c r="BF229" i="27" s="1"/>
  <c r="BH231" i="27" a="1"/>
  <c r="BH231" i="27" s="1"/>
  <c r="BC194" i="27" a="1"/>
  <c r="BC194" i="27" s="1"/>
  <c r="BD224" i="27" a="1"/>
  <c r="BD224" i="27" s="1"/>
  <c r="BF226" i="27" a="1"/>
  <c r="BF226" i="27" s="1"/>
  <c r="BC228" i="27" a="1"/>
  <c r="BC228" i="27" s="1"/>
  <c r="BH228" i="27" a="1"/>
  <c r="BH228" i="27" s="1"/>
  <c r="BE230" i="27" a="1"/>
  <c r="BE230" i="27" s="1"/>
  <c r="BI231" i="27" a="1"/>
  <c r="BI231" i="27" s="1"/>
  <c r="BE194" i="27" a="1"/>
  <c r="BE194" i="27" s="1"/>
  <c r="BE238" i="27" a="1"/>
  <c r="BE238" i="27" s="1"/>
  <c r="BC245" i="27" a="1"/>
  <c r="BC245" i="27" s="1"/>
  <c r="BF246" i="27" a="1"/>
  <c r="BF246" i="27" s="1"/>
  <c r="BC249" i="27" a="1"/>
  <c r="BC249" i="27" s="1"/>
  <c r="BH251" i="27" a="1"/>
  <c r="BH251" i="27" s="1"/>
  <c r="BG254" i="27" a="1"/>
  <c r="BG254" i="27" s="1"/>
  <c r="BE257" i="27" a="1"/>
  <c r="BE257" i="27" s="1"/>
  <c r="BF261" i="27" a="1"/>
  <c r="BF261" i="27" s="1"/>
  <c r="BD264" i="27" a="1"/>
  <c r="BD264" i="27" s="1"/>
  <c r="BD268" i="27" a="1"/>
  <c r="BD268" i="27" s="1"/>
  <c r="BF204" i="27" a="1"/>
  <c r="BF204" i="27" s="1"/>
  <c r="BC207" i="27" a="1"/>
  <c r="BC207" i="27" s="1"/>
  <c r="BC238" i="27" a="1"/>
  <c r="BC238" i="27" s="1"/>
  <c r="BE239" i="27" a="1"/>
  <c r="BE239" i="27" s="1"/>
  <c r="BH240" i="27" a="1"/>
  <c r="BH240" i="27" s="1"/>
  <c r="BF243" i="27" a="1"/>
  <c r="BF243" i="27" s="1"/>
  <c r="BD250" i="27" a="1"/>
  <c r="BD250" i="27" s="1"/>
  <c r="BI252" i="27" a="1"/>
  <c r="BI252" i="27" s="1"/>
  <c r="BE254" i="27" a="1"/>
  <c r="BE254" i="27" s="1"/>
  <c r="BC257" i="27" a="1"/>
  <c r="BC257" i="27" s="1"/>
  <c r="BF258" i="27" a="1"/>
  <c r="BF258" i="27" s="1"/>
  <c r="BH259" i="27" a="1"/>
  <c r="BH259" i="27" s="1"/>
  <c r="BD261" i="27" a="1"/>
  <c r="BD261" i="27" s="1"/>
  <c r="BG262" i="27" a="1"/>
  <c r="BG262" i="27" s="1"/>
  <c r="BI263" i="27" a="1"/>
  <c r="BI263" i="27" s="1"/>
  <c r="BG266" i="27" a="1"/>
  <c r="BG266" i="27" s="1"/>
  <c r="BI267" i="27" a="1"/>
  <c r="BI267" i="27" s="1"/>
  <c r="BE269" i="27" a="1"/>
  <c r="BE269" i="27" s="1"/>
  <c r="BC272" i="27" a="1"/>
  <c r="BC272" i="27" s="1"/>
  <c r="BF273" i="27" a="1"/>
  <c r="BF273" i="27" s="1"/>
  <c r="BE236" i="27" a="1"/>
  <c r="BE236" i="27" s="1"/>
  <c r="BC196" i="27" a="1"/>
  <c r="BC196" i="27" s="1"/>
  <c r="BG199" i="27" a="1"/>
  <c r="BG199" i="27" s="1"/>
  <c r="BH200" i="27" a="1"/>
  <c r="BH200" i="27" s="1"/>
  <c r="BD202" i="27" a="1"/>
  <c r="BD202" i="27" s="1"/>
  <c r="BE204" i="27" a="1"/>
  <c r="BE204" i="27" s="1"/>
  <c r="BD205" i="27" a="1"/>
  <c r="BD205" i="27" s="1"/>
  <c r="BC206" i="27" a="1"/>
  <c r="BC206" i="27" s="1"/>
  <c r="BI206" i="27" a="1"/>
  <c r="BI206" i="27" s="1"/>
  <c r="BI207" i="27" a="1"/>
  <c r="BI207" i="27" s="1"/>
  <c r="BG209" i="27" a="1"/>
  <c r="BG209" i="27" s="1"/>
  <c r="BE211" i="27" a="1"/>
  <c r="BE211" i="27" s="1"/>
  <c r="BC213" i="27" a="1"/>
  <c r="BC213" i="27" s="1"/>
  <c r="BI213" i="27" a="1"/>
  <c r="BI213" i="27" s="1"/>
  <c r="BG215" i="27" a="1"/>
  <c r="BG215" i="27" s="1"/>
  <c r="BE217" i="27" a="1"/>
  <c r="BE217" i="27" s="1"/>
  <c r="BD218" i="27" a="1"/>
  <c r="BD218" i="27" s="1"/>
  <c r="BI218" i="27" a="1"/>
  <c r="BI218" i="27" s="1"/>
  <c r="BG219" i="27" a="1"/>
  <c r="BG219" i="27" s="1"/>
  <c r="BF220" i="27" a="1"/>
  <c r="BF220" i="27" s="1"/>
  <c r="BD221" i="27" a="1"/>
  <c r="BD221" i="27" s="1"/>
  <c r="BI221" i="27" a="1"/>
  <c r="BI221" i="27" s="1"/>
  <c r="BH222" i="27" a="1"/>
  <c r="BH222" i="27" s="1"/>
  <c r="BF223" i="27" a="1"/>
  <c r="BF223" i="27" s="1"/>
  <c r="BC225" i="27" a="1"/>
  <c r="BC225" i="27" s="1"/>
  <c r="BH225" i="27" a="1"/>
  <c r="BH225" i="27" s="1"/>
  <c r="BE227" i="27" a="1"/>
  <c r="BE227" i="27" s="1"/>
  <c r="BG229" i="27" a="1"/>
  <c r="BG229" i="27" s="1"/>
  <c r="BC231" i="27" a="1"/>
  <c r="BC231" i="27" s="1"/>
  <c r="BH232" i="27" a="1"/>
  <c r="BH232" i="27" s="1"/>
  <c r="BG239" i="27" a="1"/>
  <c r="BG239" i="27" s="1"/>
  <c r="BH247" i="27" a="1"/>
  <c r="BH247" i="27" s="1"/>
  <c r="BF250" i="27" a="1"/>
  <c r="BF250" i="27" s="1"/>
  <c r="BD253" i="27" a="1"/>
  <c r="BD253" i="27" s="1"/>
  <c r="BI255" i="27" a="1"/>
  <c r="BI255" i="27" s="1"/>
  <c r="BC260" i="27" a="1"/>
  <c r="BC260" i="27" s="1"/>
  <c r="BI262" i="27" a="1"/>
  <c r="BI262" i="27" s="1"/>
  <c r="BI266" i="27" a="1"/>
  <c r="BI266" i="27" s="1"/>
  <c r="BG269" i="27" a="1"/>
  <c r="BG269" i="27" s="1"/>
  <c r="BE197" i="27" a="1"/>
  <c r="BE197" i="27" s="1"/>
  <c r="BE345" i="27" s="1" a="1"/>
  <c r="BE345" i="27" s="1"/>
  <c r="E12" i="51" s="1"/>
  <c r="BF198" i="27" a="1"/>
  <c r="BF198" i="27" s="1"/>
  <c r="BI199" i="27" a="1"/>
  <c r="BI199" i="27" s="1"/>
  <c r="BF203" i="27" a="1"/>
  <c r="BF203" i="27" s="1"/>
  <c r="BD206" i="27" a="1"/>
  <c r="BD206" i="27" s="1"/>
  <c r="BG237" i="27" a="1"/>
  <c r="BG237" i="27" s="1"/>
  <c r="BC241" i="27" a="1"/>
  <c r="BC241" i="27" s="1"/>
  <c r="BF244" i="27" a="1"/>
  <c r="BF244" i="27" s="1"/>
  <c r="BE255" i="27" a="1"/>
  <c r="BE255" i="27" s="1"/>
  <c r="BE259" i="27" a="1"/>
  <c r="BE259" i="27" s="1"/>
  <c r="BE266" i="27" a="1"/>
  <c r="BE266" i="27" s="1"/>
  <c r="BE270" i="27" a="1"/>
  <c r="BE270" i="27" s="1"/>
  <c r="BI273" i="27" a="1"/>
  <c r="BI273" i="27" s="1"/>
  <c r="BI196" i="27" a="1"/>
  <c r="BI196" i="27" s="1"/>
  <c r="BF200" i="27" a="1"/>
  <c r="BF200" i="27" s="1"/>
  <c r="BG203" i="27" a="1"/>
  <c r="BG203" i="27" s="1"/>
  <c r="BE208" i="27" a="1"/>
  <c r="BE208" i="27" s="1"/>
  <c r="BD210" i="27" a="1"/>
  <c r="BD210" i="27" s="1"/>
  <c r="BI211" i="27" a="1"/>
  <c r="BI211" i="27" s="1"/>
  <c r="BG213" i="27" a="1"/>
  <c r="BG213" i="27" s="1"/>
  <c r="BE215" i="27" a="1"/>
  <c r="BE215" i="27" s="1"/>
  <c r="BG218" i="27" a="1"/>
  <c r="BG218" i="27" s="1"/>
  <c r="BD223" i="27" a="1"/>
  <c r="BD223" i="27" s="1"/>
  <c r="BH227" i="27" a="1"/>
  <c r="BH227" i="27" s="1"/>
  <c r="BE232" i="27" a="1"/>
  <c r="BE232" i="27" s="1"/>
  <c r="BD217" i="27" a="1"/>
  <c r="BD217" i="27" s="1"/>
  <c r="BD220" i="27" a="1"/>
  <c r="BD220" i="27" s="1"/>
  <c r="BE223" i="27" a="1"/>
  <c r="BE223" i="27" s="1"/>
  <c r="BE371" i="27" s="1" a="1"/>
  <c r="BE371" i="27" s="1"/>
  <c r="E31" i="51" s="1"/>
  <c r="BE226" i="27" a="1"/>
  <c r="BE226" i="27" s="1"/>
  <c r="BE374" i="27" s="1" a="1"/>
  <c r="BE374" i="27" s="1"/>
  <c r="E34" i="51" s="1"/>
  <c r="BI227" i="27" a="1"/>
  <c r="BI227" i="27" s="1"/>
  <c r="BI230" i="27" a="1"/>
  <c r="BI230" i="27" s="1"/>
  <c r="BG263" i="27" a="1"/>
  <c r="BG263" i="27" s="1"/>
  <c r="BC198" i="27" a="1"/>
  <c r="BC198" i="27" s="1"/>
  <c r="BF210" i="27" a="1"/>
  <c r="BF210" i="27" s="1"/>
  <c r="BF217" i="27" a="1"/>
  <c r="BF217" i="27" s="1"/>
  <c r="BD231" i="27" a="1"/>
  <c r="BD231" i="27" s="1"/>
  <c r="BH256" i="27" a="1"/>
  <c r="BH256" i="27" s="1"/>
  <c r="BC195" i="27" a="1"/>
  <c r="BC195" i="27" s="1"/>
  <c r="BH206" i="27" a="1"/>
  <c r="BH206" i="27" s="1"/>
  <c r="BD214" i="27" a="1"/>
  <c r="BD214" i="27" s="1"/>
  <c r="BG220" i="27" a="1"/>
  <c r="BG220" i="27" s="1"/>
  <c r="BH226" i="27" a="1"/>
  <c r="BH226" i="27" s="1"/>
  <c r="BI232" i="27" a="1"/>
  <c r="BI232" i="27" s="1"/>
  <c r="BH237" i="27" a="1"/>
  <c r="BH237" i="27" s="1"/>
  <c r="BH241" i="27" a="1"/>
  <c r="BH241" i="27" s="1"/>
  <c r="BD245" i="27" a="1"/>
  <c r="BD245" i="27" s="1"/>
  <c r="BF248" i="27" a="1"/>
  <c r="BF248" i="27" s="1"/>
  <c r="BF252" i="27" a="1"/>
  <c r="BF252" i="27" s="1"/>
  <c r="BD358" i="27" s="1" a="1"/>
  <c r="BD358" i="27" s="1"/>
  <c r="BC256" i="27" a="1"/>
  <c r="BC256" i="27" s="1"/>
  <c r="BF259" i="27" a="1"/>
  <c r="BF259" i="27" s="1"/>
  <c r="BI274" i="27" a="1"/>
  <c r="BI274" i="27" s="1"/>
  <c r="BG197" i="27" a="1"/>
  <c r="BG197" i="27" s="1"/>
  <c r="BG200" i="27" a="1"/>
  <c r="BG200" i="27" s="1"/>
  <c r="BC204" i="27" a="1"/>
  <c r="BC204" i="27" s="1"/>
  <c r="BE206" i="27" a="1"/>
  <c r="BE206" i="27" s="1"/>
  <c r="BF208" i="27" a="1"/>
  <c r="BF208" i="27" s="1"/>
  <c r="BF215" i="27" a="1"/>
  <c r="BF215" i="27" s="1"/>
  <c r="BH218" i="27" a="1"/>
  <c r="BH218" i="27" s="1"/>
  <c r="BH221" i="27" a="1"/>
  <c r="BH221" i="27" s="1"/>
  <c r="BH224" i="27" a="1"/>
  <c r="BH224" i="27" s="1"/>
  <c r="BE229" i="27" a="1"/>
  <c r="BE229" i="27" s="1"/>
  <c r="BD249" i="27" a="1"/>
  <c r="BD249" i="27" s="1"/>
  <c r="BD201" i="27" a="1"/>
  <c r="BD201" i="27" s="1"/>
  <c r="BD212" i="27" a="1"/>
  <c r="BD212" i="27" s="1"/>
  <c r="BG226" i="27" a="1"/>
  <c r="BG226" i="27" s="1"/>
  <c r="BF242" i="27" a="1"/>
  <c r="BF242" i="27" s="1"/>
  <c r="BG267" i="27" a="1"/>
  <c r="BG267" i="27" s="1"/>
  <c r="BI208" i="27" a="1"/>
  <c r="BI208" i="27" s="1"/>
  <c r="BI215" i="27" a="1"/>
  <c r="BI215" i="27" s="1"/>
  <c r="BD222" i="27" a="1"/>
  <c r="BD222" i="27" s="1"/>
  <c r="BD228" i="27" a="1"/>
  <c r="BD228" i="27" s="1"/>
  <c r="BC239" i="27" a="1"/>
  <c r="BC239" i="27" s="1"/>
  <c r="BC243" i="27" a="1"/>
  <c r="BC243" i="27" s="1"/>
  <c r="BI249" i="27" a="1"/>
  <c r="BI249" i="27" s="1"/>
  <c r="BI253" i="27" a="1"/>
  <c r="BI253" i="27" s="1"/>
  <c r="BF195" i="27" a="1"/>
  <c r="BF195" i="27" s="1"/>
  <c r="BI204" i="27" a="1"/>
  <c r="BI204" i="27" s="1"/>
  <c r="BD207" i="27" a="1"/>
  <c r="BD207" i="27" s="1"/>
  <c r="BD209" i="27" a="1"/>
  <c r="BD209" i="27" s="1"/>
  <c r="BD216" i="27" a="1"/>
  <c r="BD216" i="27" s="1"/>
  <c r="BI220" i="27" a="1"/>
  <c r="BI220" i="27" s="1"/>
  <c r="BF225" i="27" a="1"/>
  <c r="BF225" i="27" s="1"/>
  <c r="BC230" i="27" a="1"/>
  <c r="BC230" i="27" s="1"/>
  <c r="BI194" i="27" a="1"/>
  <c r="BI194" i="27" s="1"/>
  <c r="BC211" i="27" a="1"/>
  <c r="BC211" i="27" s="1"/>
  <c r="BF214" i="27" a="1"/>
  <c r="BF214" i="27" s="1"/>
  <c r="BI217" i="27" a="1"/>
  <c r="BI217" i="27" s="1"/>
  <c r="BC221" i="27" a="1"/>
  <c r="BC221" i="27" s="1"/>
  <c r="BF222" i="27" a="1"/>
  <c r="BF222" i="27" s="1"/>
  <c r="BG225" i="27" a="1"/>
  <c r="BG225" i="27" s="1"/>
  <c r="BC227" i="27" a="1"/>
  <c r="BC227" i="27" s="1"/>
  <c r="BD230" i="27" a="1"/>
  <c r="BD230" i="27" s="1"/>
  <c r="BG231" i="27" a="1"/>
  <c r="BG231" i="27" s="1"/>
  <c r="BD247" i="27" a="1"/>
  <c r="BD247" i="27" s="1"/>
  <c r="BC258" i="27" a="1"/>
  <c r="BC258" i="27" s="1"/>
  <c r="BG265" i="27" a="1"/>
  <c r="BG265" i="27" s="1"/>
  <c r="BE199" i="27" a="1"/>
  <c r="BE199" i="27" s="1"/>
  <c r="BE205" i="27" a="1"/>
  <c r="BE205" i="27" s="1"/>
  <c r="BI214" i="27" a="1"/>
  <c r="BI214" i="27" s="1"/>
  <c r="BH219" i="27" a="1"/>
  <c r="BH219" i="27" s="1"/>
  <c r="BI228" i="27" a="1"/>
  <c r="BI228" i="27" s="1"/>
  <c r="BE240" i="27" a="1"/>
  <c r="BE240" i="27" s="1"/>
  <c r="BD251" i="27" a="1"/>
  <c r="BD251" i="27" s="1"/>
  <c r="BD262" i="27" a="1"/>
  <c r="BD262" i="27" s="1"/>
  <c r="BH269" i="27" a="1"/>
  <c r="BH269" i="27" s="1"/>
  <c r="BH196" i="27" a="1"/>
  <c r="BH196" i="27" s="1"/>
  <c r="BC208" i="27" a="1"/>
  <c r="BC208" i="27" s="1"/>
  <c r="BF211" i="27" a="1"/>
  <c r="BF211" i="27" s="1"/>
  <c r="BE218" i="27" a="1"/>
  <c r="BE218" i="27" s="1"/>
  <c r="BE366" i="27" s="1" a="1"/>
  <c r="BE366" i="27" s="1"/>
  <c r="BE221" i="27" a="1"/>
  <c r="BE221" i="27" s="1"/>
  <c r="BF224" i="27" a="1"/>
  <c r="BF224" i="27" s="1"/>
  <c r="BF227" i="27" a="1"/>
  <c r="BF227" i="27" s="1"/>
  <c r="BF230" i="27" a="1"/>
  <c r="BF230" i="27" s="1"/>
  <c r="BD194" i="27" a="1"/>
  <c r="BD194" i="27" s="1"/>
  <c r="BG252" i="27" a="1"/>
  <c r="BG252" i="27" s="1"/>
  <c r="BI236" i="27" a="1"/>
  <c r="BI236" i="27" s="1"/>
  <c r="BG206" i="27" a="1"/>
  <c r="BG206" i="27" s="1"/>
  <c r="BH215" i="27" a="1"/>
  <c r="BH215" i="27" s="1"/>
  <c r="BH260" i="27" a="1"/>
  <c r="BH260" i="27" s="1"/>
  <c r="BD198" i="27" a="1"/>
  <c r="BD198" i="27" s="1"/>
  <c r="BG210" i="27" a="1"/>
  <c r="BG210" i="27" s="1"/>
  <c r="BG217" i="27" a="1"/>
  <c r="BG217" i="27" s="1"/>
  <c r="BG223" i="27" a="1"/>
  <c r="BG223" i="27" s="1"/>
  <c r="BH229" i="27" a="1"/>
  <c r="BH229" i="27" s="1"/>
  <c r="BI264" i="27" a="1"/>
  <c r="BI264" i="27" s="1"/>
  <c r="BI268" i="27" a="1"/>
  <c r="BI268" i="27" s="1"/>
  <c r="BE272" i="27" a="1"/>
  <c r="BE272" i="27" s="1"/>
  <c r="BH195" i="27" a="1"/>
  <c r="BH195" i="27" s="1"/>
  <c r="BD199" i="27" a="1"/>
  <c r="BD199" i="27" s="1"/>
  <c r="BE202" i="27" a="1"/>
  <c r="BE202" i="27" s="1"/>
  <c r="BC205" i="27" a="1"/>
  <c r="BC205" i="27" s="1"/>
  <c r="BF207" i="27" a="1"/>
  <c r="BF207" i="27" s="1"/>
  <c r="BE209" i="27" a="1"/>
  <c r="BE209" i="27" s="1"/>
  <c r="BH212" i="27" a="1"/>
  <c r="BH212" i="27" s="1"/>
  <c r="BE216" i="27" a="1"/>
  <c r="BE216" i="27" s="1"/>
  <c r="BF219" i="27" a="1"/>
  <c r="BF219" i="27" s="1"/>
  <c r="BC224" i="27" a="1"/>
  <c r="BC224" i="27" s="1"/>
  <c r="BG228" i="27" a="1"/>
  <c r="BG228" i="27" s="1"/>
  <c r="BG194" i="27" a="1"/>
  <c r="BG194" i="27" s="1"/>
  <c r="BH243" i="27" a="1"/>
  <c r="BH243" i="27" s="1"/>
  <c r="BD196" i="27" a="1"/>
  <c r="BD196" i="27" s="1"/>
  <c r="BI202" i="27" a="1"/>
  <c r="BI202" i="27" s="1"/>
  <c r="BD213" i="27" a="1"/>
  <c r="BD213" i="27" s="1"/>
  <c r="BG216" i="27" a="1"/>
  <c r="BG216" i="27" s="1"/>
  <c r="BE224" i="27" a="1"/>
  <c r="BE224" i="27" s="1"/>
  <c r="BE372" i="27" s="1" a="1"/>
  <c r="BE372" i="27" s="1"/>
  <c r="E32" i="51" s="1"/>
  <c r="BF194" i="27" a="1"/>
  <c r="BF194" i="27" s="1"/>
  <c r="BE244" i="27" a="1"/>
  <c r="BE244" i="27" s="1"/>
  <c r="BH258" i="27" a="1"/>
  <c r="BH258" i="27" s="1"/>
  <c r="BD266" i="27" a="1"/>
  <c r="BD266" i="27" s="1"/>
  <c r="BC273" i="27" a="1"/>
  <c r="BC273" i="27" s="1"/>
  <c r="BH205" i="27" a="1"/>
  <c r="BH205" i="27" s="1"/>
  <c r="BH209" i="27" a="1"/>
  <c r="BH209" i="27" s="1"/>
  <c r="BI219" i="27" a="1"/>
  <c r="BI219" i="27" s="1"/>
  <c r="BI222" i="27" a="1"/>
  <c r="BI222" i="27" s="1"/>
  <c r="BI225" i="27" a="1"/>
  <c r="BI225" i="27" s="1"/>
  <c r="BC229" i="27" a="1"/>
  <c r="BC229" i="27" s="1"/>
  <c r="BC232" i="27" a="1"/>
  <c r="BC232" i="27" s="1"/>
  <c r="BF232" i="27" a="1"/>
  <c r="BF232" i="27" s="1"/>
  <c r="BH245" i="27" a="1"/>
  <c r="BH245" i="27" s="1"/>
  <c r="BC271" i="27" a="1"/>
  <c r="BC271" i="27" s="1"/>
  <c r="BH208" i="27" a="1"/>
  <c r="BH208" i="27" s="1"/>
  <c r="BC214" i="27" a="1"/>
  <c r="BC214" i="27" s="1"/>
  <c r="BC222" i="27" a="1"/>
  <c r="BC222" i="27" s="1"/>
  <c r="BG232" i="27" a="1"/>
  <c r="BG232" i="27" s="1"/>
  <c r="BG271" i="27" a="1"/>
  <c r="BG271" i="27" s="1"/>
  <c r="BG201" i="27" a="1"/>
  <c r="BG201" i="27" s="1"/>
  <c r="BF212" i="27" a="1"/>
  <c r="BF212" i="27" s="1"/>
  <c r="BC219" i="27" a="1"/>
  <c r="BC219" i="27" s="1"/>
  <c r="BD225" i="27" a="1"/>
  <c r="BD225" i="27" s="1"/>
  <c r="BE231" i="27" a="1"/>
  <c r="BE231" i="27" s="1"/>
  <c r="BE350" i="27" l="1" a="1"/>
  <c r="BE350" i="27" s="1"/>
  <c r="E16" i="51" s="1"/>
  <c r="BE365" i="27" a="1"/>
  <c r="BE365" i="27" s="1"/>
  <c r="BE347" i="27" a="1"/>
  <c r="BE347" i="27" s="1"/>
  <c r="E13" i="51" s="1"/>
  <c r="BE368" i="27" a="1"/>
  <c r="BE368" i="27" s="1"/>
  <c r="E28" i="51" s="1"/>
  <c r="BD346" i="27" a="1"/>
  <c r="BD346" i="27" s="1"/>
  <c r="BD352" i="27" a="1"/>
  <c r="BD352" i="27" s="1"/>
  <c r="D18" i="51" s="1"/>
  <c r="G18" i="51" s="1"/>
  <c r="BE349" i="27" a="1"/>
  <c r="BE349" i="27" s="1"/>
  <c r="E15" i="51" s="1"/>
  <c r="H15" i="51" s="1"/>
  <c r="BE367" i="27" a="1"/>
  <c r="BE367" i="27" s="1"/>
  <c r="E35" i="51" s="1"/>
  <c r="BD369" i="27" a="1"/>
  <c r="BD369" i="27" s="1"/>
  <c r="D29" i="51" s="1"/>
  <c r="BD345" i="27" a="1"/>
  <c r="BD345" i="27" s="1"/>
  <c r="D12" i="51" s="1"/>
  <c r="G12" i="51" s="1"/>
  <c r="BD367" i="27" a="1"/>
  <c r="BD367" i="27" s="1"/>
  <c r="D35" i="51" s="1"/>
  <c r="BD366" i="27" a="1"/>
  <c r="BD366" i="27" s="1"/>
  <c r="BE355" i="27" a="1"/>
  <c r="BE355" i="27" s="1"/>
  <c r="E20" i="51" s="1"/>
  <c r="H20" i="51" s="1"/>
  <c r="BD363" i="27" a="1"/>
  <c r="BD363" i="27" s="1"/>
  <c r="D26" i="51" s="1"/>
  <c r="G26" i="51" s="1"/>
  <c r="BE373" i="27" a="1"/>
  <c r="BE373" i="27" s="1"/>
  <c r="E33" i="51" s="1"/>
  <c r="BE364" i="27" a="1"/>
  <c r="BE364" i="27" s="1"/>
  <c r="E27" i="51" s="1"/>
  <c r="BE369" i="27" a="1"/>
  <c r="BE369" i="27" s="1"/>
  <c r="E29" i="51" s="1"/>
  <c r="BE358" i="27" a="1"/>
  <c r="BE358" i="27" s="1"/>
  <c r="BD371" i="27" a="1"/>
  <c r="BD371" i="27" s="1"/>
  <c r="D31" i="51" s="1"/>
  <c r="BD368" i="27" a="1"/>
  <c r="BD368" i="27" s="1"/>
  <c r="D28" i="51" s="1"/>
  <c r="BD349" i="27" a="1"/>
  <c r="BD349" i="27" s="1"/>
  <c r="D15" i="51" s="1"/>
  <c r="G15" i="51" s="1"/>
  <c r="BE342" i="27" a="1"/>
  <c r="BE342" i="27" s="1"/>
  <c r="E46" i="51" s="1"/>
  <c r="BE343" i="27" a="1"/>
  <c r="BE343" i="27" s="1"/>
  <c r="E10" i="51" s="1"/>
  <c r="H10" i="51" s="1"/>
  <c r="BE344" i="27" a="1"/>
  <c r="BE344" i="27" s="1"/>
  <c r="E11" i="51" s="1"/>
  <c r="BD374" i="27" a="1"/>
  <c r="BD374" i="27" s="1"/>
  <c r="D34" i="51" s="1"/>
  <c r="BE353" i="27" a="1"/>
  <c r="BE353" i="27" s="1"/>
  <c r="BD348" i="27" a="1"/>
  <c r="BD348" i="27" s="1"/>
  <c r="D14" i="51" s="1"/>
  <c r="G14" i="51" s="1"/>
  <c r="BD365" i="27" a="1"/>
  <c r="BD365" i="27" s="1"/>
  <c r="BD356" i="27" a="1"/>
  <c r="BD356" i="27" s="1"/>
  <c r="D21" i="51" s="1"/>
  <c r="G21" i="51" s="1"/>
  <c r="BD357" i="27" a="1"/>
  <c r="BD357" i="27" s="1"/>
  <c r="BD351" i="27" a="1"/>
  <c r="BD351" i="27" s="1"/>
  <c r="D17" i="51" s="1"/>
  <c r="G17" i="51" s="1"/>
  <c r="BE362" i="27" a="1"/>
  <c r="BE362" i="27" s="1"/>
  <c r="E25" i="51" s="1"/>
  <c r="BE351" i="27" a="1"/>
  <c r="BE351" i="27" s="1"/>
  <c r="E17" i="51" s="1"/>
  <c r="H17" i="51" s="1"/>
  <c r="BE360" i="27" a="1"/>
  <c r="BE360" i="27" s="1"/>
  <c r="E23" i="51" s="1"/>
  <c r="H23" i="51" s="1"/>
  <c r="BD362" i="27" a="1"/>
  <c r="BD362" i="27" s="1"/>
  <c r="D25" i="51" s="1"/>
  <c r="BD343" i="27" a="1"/>
  <c r="BD343" i="27" s="1"/>
  <c r="D10" i="51" s="1"/>
  <c r="G10" i="51" s="1"/>
  <c r="BD361" i="27" a="1"/>
  <c r="BD361" i="27" s="1"/>
  <c r="D24" i="51" s="1"/>
  <c r="G24" i="51" s="1"/>
  <c r="BD344" i="27" a="1"/>
  <c r="BD344" i="27" s="1"/>
  <c r="D11" i="51" s="1"/>
  <c r="BE356" i="27" a="1"/>
  <c r="BE356" i="27" s="1"/>
  <c r="E21" i="51" s="1"/>
  <c r="H21" i="51" s="1"/>
  <c r="BD372" i="27" a="1"/>
  <c r="BD372" i="27" s="1"/>
  <c r="D32" i="51" s="1"/>
  <c r="BD350" i="27" a="1"/>
  <c r="BD350" i="27" s="1"/>
  <c r="D16" i="51" s="1"/>
  <c r="G16" i="51" s="1"/>
  <c r="BD364" i="27" a="1"/>
  <c r="BD364" i="27" s="1"/>
  <c r="D27" i="51" s="1"/>
  <c r="BD353" i="27" a="1"/>
  <c r="BD353" i="27" s="1"/>
  <c r="BD347" i="27" a="1"/>
  <c r="BD347" i="27" s="1"/>
  <c r="D13" i="51" s="1"/>
  <c r="G13" i="51" s="1"/>
  <c r="BD355" i="27" a="1"/>
  <c r="BD355" i="27" s="1"/>
  <c r="D20" i="51" s="1"/>
  <c r="G20" i="51" s="1"/>
  <c r="BD373" i="27" a="1"/>
  <c r="BD373" i="27" s="1"/>
  <c r="D33" i="51" s="1"/>
  <c r="BE354" i="27" a="1"/>
  <c r="BE354" i="27" s="1"/>
  <c r="BD354" i="27" a="1"/>
  <c r="BD354" i="27" s="1"/>
  <c r="BE352" i="27" a="1"/>
  <c r="BE352" i="27" s="1"/>
  <c r="E18" i="51" s="1"/>
  <c r="H18" i="51" s="1"/>
  <c r="BE361" i="27" a="1"/>
  <c r="BE361" i="27" s="1"/>
  <c r="E24" i="51" s="1"/>
  <c r="H24" i="51" s="1"/>
  <c r="BD359" i="27" a="1"/>
  <c r="BD359" i="27" s="1"/>
  <c r="D22" i="51" s="1"/>
  <c r="BE346" i="27" a="1"/>
  <c r="BE346" i="27" s="1"/>
  <c r="BE370" i="27" a="1"/>
  <c r="BE370" i="27" s="1"/>
  <c r="E30" i="51" s="1"/>
  <c r="BE357" i="27" a="1"/>
  <c r="BE357" i="27" s="1"/>
  <c r="BE359" i="27" a="1"/>
  <c r="BE359" i="27" s="1"/>
  <c r="E22" i="51" s="1"/>
  <c r="D49" i="51"/>
  <c r="D41" i="51"/>
  <c r="D44" i="51"/>
  <c r="D46" i="51"/>
  <c r="D38" i="51"/>
  <c r="D45" i="51"/>
  <c r="D37" i="51"/>
  <c r="D43" i="51"/>
  <c r="D48" i="51"/>
  <c r="D40" i="51"/>
  <c r="D50" i="51"/>
  <c r="D42" i="51"/>
  <c r="D47" i="51"/>
  <c r="D39" i="51"/>
  <c r="D9" i="51"/>
  <c r="BC361" i="27" a="1"/>
  <c r="BC361" i="27" s="1"/>
  <c r="C24" i="51" s="1"/>
  <c r="BC367" i="27" a="1"/>
  <c r="BC367" i="27" s="1"/>
  <c r="C35" i="51" s="1"/>
  <c r="BC359" i="27" a="1"/>
  <c r="BC359" i="27" s="1"/>
  <c r="C22" i="51" s="1"/>
  <c r="H16" i="51"/>
  <c r="H14" i="51"/>
  <c r="H12" i="51"/>
  <c r="H13" i="51"/>
  <c r="H26" i="51"/>
  <c r="BC352" i="27" a="1"/>
  <c r="BC352" i="27" s="1"/>
  <c r="C18" i="51" s="1"/>
  <c r="BC369" i="27" a="1"/>
  <c r="BC369" i="27" s="1"/>
  <c r="C29" i="51" s="1"/>
  <c r="BC345" i="27" a="1"/>
  <c r="BC345" i="27" s="1"/>
  <c r="C12" i="51" s="1"/>
  <c r="BC354" i="27" a="1"/>
  <c r="BC354" i="27" s="1"/>
  <c r="BC353" i="27" a="1"/>
  <c r="BC353" i="27" s="1"/>
  <c r="BC355" i="27" a="1"/>
  <c r="BC355" i="27" s="1"/>
  <c r="C20" i="51" s="1"/>
  <c r="BC362" i="27" a="1"/>
  <c r="BC362" i="27" s="1"/>
  <c r="C25" i="51" s="1"/>
  <c r="BC343" i="27" a="1"/>
  <c r="BC343" i="27" s="1"/>
  <c r="C10" i="51" s="1"/>
  <c r="BC372" i="27" a="1"/>
  <c r="BC372" i="27" s="1"/>
  <c r="C32" i="51" s="1"/>
  <c r="BC371" i="27" a="1"/>
  <c r="BC371" i="27" s="1"/>
  <c r="C31" i="51" s="1"/>
  <c r="BC351" i="27" a="1"/>
  <c r="BC351" i="27" s="1"/>
  <c r="C17" i="51" s="1"/>
  <c r="BC346" i="27" a="1"/>
  <c r="BC346" i="27" s="1"/>
  <c r="BC374" i="27" a="1"/>
  <c r="BC374" i="27" s="1"/>
  <c r="C34" i="51" s="1"/>
  <c r="BC368" i="27" a="1"/>
  <c r="BC368" i="27" s="1"/>
  <c r="C28" i="51" s="1"/>
  <c r="BC373" i="27" a="1"/>
  <c r="BC373" i="27" s="1"/>
  <c r="C33" i="51" s="1"/>
  <c r="BC363" i="27" a="1"/>
  <c r="BC363" i="27" s="1"/>
  <c r="C26" i="51" s="1"/>
  <c r="BC344" i="27" a="1"/>
  <c r="BC344" i="27" s="1"/>
  <c r="C11" i="51" s="1"/>
  <c r="BC348" i="27" a="1"/>
  <c r="BC348" i="27" s="1"/>
  <c r="C14" i="51" s="1"/>
  <c r="BC349" i="27" a="1"/>
  <c r="BC349" i="27" s="1"/>
  <c r="C15" i="51" s="1"/>
  <c r="BC366" i="27" a="1"/>
  <c r="BC366" i="27" s="1"/>
  <c r="BC357" i="27" a="1"/>
  <c r="BC357" i="27" s="1"/>
  <c r="BC347" i="27" a="1"/>
  <c r="BC347" i="27" s="1"/>
  <c r="C13" i="51" s="1"/>
  <c r="BC364" i="27" a="1"/>
  <c r="BC364" i="27" s="1"/>
  <c r="C27" i="51" s="1"/>
  <c r="BC365" i="27" a="1"/>
  <c r="BC365" i="27" s="1"/>
  <c r="BC350" i="27" a="1"/>
  <c r="BC350" i="27" s="1"/>
  <c r="C16" i="51" s="1"/>
  <c r="BC360" i="27" a="1"/>
  <c r="BC360" i="27" s="1"/>
  <c r="C23" i="51" s="1"/>
  <c r="BC370" i="27" a="1"/>
  <c r="BC370" i="27" s="1"/>
  <c r="C30" i="51" s="1"/>
  <c r="BC358" i="27" a="1"/>
  <c r="BC358" i="27" s="1"/>
  <c r="BC356" i="27" a="1"/>
  <c r="BC356" i="27" s="1"/>
  <c r="C21" i="51" s="1"/>
  <c r="G23" i="51"/>
  <c r="BC342" i="27" a="1"/>
  <c r="BC342" i="27" s="1"/>
  <c r="BU91" i="27"/>
  <c r="BU78" i="27"/>
  <c r="BU99" i="27"/>
  <c r="BU47" i="27"/>
  <c r="BU84" i="27"/>
  <c r="BU106" i="27"/>
  <c r="BU77" i="27"/>
  <c r="BU93" i="27"/>
  <c r="BU98" i="27"/>
  <c r="BU85" i="27"/>
  <c r="BU80" i="27"/>
  <c r="BU82" i="27"/>
  <c r="BU83" i="27"/>
  <c r="BU90" i="27"/>
  <c r="BU105" i="27"/>
  <c r="BU101" i="27"/>
  <c r="BU75" i="27"/>
  <c r="BU76" i="27"/>
  <c r="BU94" i="27"/>
  <c r="BU87" i="27"/>
  <c r="BU89" i="27"/>
  <c r="BU96" i="27"/>
  <c r="BU103" i="27"/>
  <c r="BU81" i="27"/>
  <c r="BU88" i="27"/>
  <c r="BU100" i="27"/>
  <c r="BU97" i="27"/>
  <c r="BU104" i="27"/>
  <c r="BU73" i="27"/>
  <c r="BU95" i="27"/>
  <c r="BU102" i="27"/>
  <c r="BU74" i="27"/>
  <c r="BU79" i="27"/>
  <c r="BU92" i="27"/>
  <c r="BU86" i="27"/>
  <c r="BJ239" i="27"/>
  <c r="BJ272" i="27"/>
  <c r="BJ259" i="27"/>
  <c r="BJ253" i="27"/>
  <c r="BJ261" i="27"/>
  <c r="BJ266" i="27"/>
  <c r="BJ205" i="27"/>
  <c r="BJ237" i="27"/>
  <c r="BJ268" i="27"/>
  <c r="BJ260" i="27"/>
  <c r="BJ262" i="27"/>
  <c r="BJ238" i="27"/>
  <c r="BJ269" i="27"/>
  <c r="BJ250" i="27"/>
  <c r="BJ273" i="27"/>
  <c r="BJ256" i="27"/>
  <c r="BJ252" i="27"/>
  <c r="BJ270" i="27"/>
  <c r="BJ247" i="27"/>
  <c r="BJ255" i="27"/>
  <c r="BJ242" i="27"/>
  <c r="BJ265" i="27"/>
  <c r="BJ248" i="27"/>
  <c r="BJ244" i="27"/>
  <c r="BJ249" i="27"/>
  <c r="BJ271" i="27"/>
  <c r="BJ258" i="27"/>
  <c r="BJ257" i="27"/>
  <c r="BJ240" i="27"/>
  <c r="BJ236" i="27"/>
  <c r="BJ245" i="27"/>
  <c r="BJ243" i="27"/>
  <c r="BJ263" i="27"/>
  <c r="BJ241" i="27"/>
  <c r="BJ254" i="27"/>
  <c r="BJ251" i="27"/>
  <c r="BJ264" i="27"/>
  <c r="BJ267" i="27"/>
  <c r="BJ246" i="27"/>
  <c r="BJ274" i="27"/>
  <c r="BU37" i="27"/>
  <c r="BJ201" i="27"/>
  <c r="BJ216" i="27"/>
  <c r="BJ213" i="27"/>
  <c r="BU65" i="27"/>
  <c r="BU56" i="27"/>
  <c r="BU60" i="27"/>
  <c r="BU67" i="27"/>
  <c r="BU42" i="27"/>
  <c r="BU38" i="27"/>
  <c r="BU49" i="27"/>
  <c r="BU66" i="27"/>
  <c r="BU57" i="27"/>
  <c r="BJ207" i="27"/>
  <c r="BJ209" i="27"/>
  <c r="BJ219" i="27"/>
  <c r="BJ204" i="27"/>
  <c r="BJ217" i="27"/>
  <c r="BJ224" i="27"/>
  <c r="BJ203" i="27"/>
  <c r="BJ211" i="27"/>
  <c r="BJ230" i="27"/>
  <c r="BU48" i="27"/>
  <c r="BU36" i="27"/>
  <c r="BU44" i="27"/>
  <c r="BU54" i="27"/>
  <c r="BU51" i="27"/>
  <c r="BU55" i="27"/>
  <c r="BU59" i="27"/>
  <c r="BU69" i="27"/>
  <c r="BU68" i="27"/>
  <c r="BJ202" i="27"/>
  <c r="BJ208" i="27"/>
  <c r="BJ196" i="27"/>
  <c r="BJ223" i="27"/>
  <c r="BJ229" i="27"/>
  <c r="BJ221" i="27"/>
  <c r="BU41" i="27"/>
  <c r="BU45" i="27"/>
  <c r="BU64" i="27"/>
  <c r="BU53" i="27"/>
  <c r="BU39" i="27"/>
  <c r="BU46" i="27"/>
  <c r="BU58" i="27"/>
  <c r="BU63" i="27"/>
  <c r="BU62" i="27"/>
  <c r="BU43" i="27"/>
  <c r="BU50" i="27"/>
  <c r="BU52" i="27"/>
  <c r="BU61" i="27"/>
  <c r="BJ195" i="27"/>
  <c r="BJ228" i="27"/>
  <c r="BJ220" i="27"/>
  <c r="BJ197" i="27"/>
  <c r="BJ200" i="27"/>
  <c r="BJ214" i="27"/>
  <c r="BJ222" i="27"/>
  <c r="BJ227" i="27"/>
  <c r="BJ226" i="27"/>
  <c r="BJ225" i="27"/>
  <c r="BJ212" i="27"/>
  <c r="BU40" i="27"/>
  <c r="BJ194" i="27"/>
  <c r="BJ199" i="27"/>
  <c r="BJ206" i="27"/>
  <c r="BJ210" i="27"/>
  <c r="BJ198" i="27"/>
  <c r="BJ215" i="27"/>
  <c r="BJ232" i="27"/>
  <c r="BJ231" i="27"/>
  <c r="BJ218" i="27"/>
  <c r="E40" i="51" l="1"/>
  <c r="E48" i="51"/>
  <c r="E9" i="51"/>
  <c r="E49" i="51"/>
  <c r="E42" i="51"/>
  <c r="E44" i="51"/>
  <c r="E50" i="51"/>
  <c r="E39" i="51"/>
  <c r="E37" i="51"/>
  <c r="E47" i="51"/>
  <c r="E38" i="51"/>
  <c r="E41" i="51"/>
  <c r="E43" i="51"/>
  <c r="E45" i="51"/>
  <c r="C44" i="51"/>
  <c r="C41" i="51"/>
  <c r="C48" i="51"/>
  <c r="C49" i="51"/>
  <c r="C46" i="51"/>
  <c r="C38" i="51"/>
  <c r="C43" i="51"/>
  <c r="C40" i="51"/>
  <c r="C39" i="51"/>
  <c r="C45" i="51"/>
  <c r="C37" i="51"/>
  <c r="C50" i="51"/>
  <c r="C42" i="51"/>
  <c r="C47" i="51"/>
  <c r="C9" i="51"/>
  <c r="B11" i="51"/>
  <c r="H11" i="51" s="1"/>
  <c r="B14" i="51"/>
  <c r="B21" i="51"/>
  <c r="B27" i="51"/>
  <c r="B30" i="51"/>
  <c r="F20" i="51"/>
  <c r="K20" i="51" s="1"/>
  <c r="B32" i="51"/>
  <c r="G32" i="51" s="1"/>
  <c r="F26" i="51"/>
  <c r="K26" i="51" s="1"/>
  <c r="F24" i="51"/>
  <c r="F16" i="51"/>
  <c r="K16" i="51" s="1"/>
  <c r="F17" i="51"/>
  <c r="K17" i="51" s="1"/>
  <c r="B10" i="51"/>
  <c r="F23" i="51"/>
  <c r="K23" i="51" s="1"/>
  <c r="F15" i="51"/>
  <c r="K15" i="51" s="1"/>
  <c r="B33" i="51"/>
  <c r="F13" i="51"/>
  <c r="K13" i="51" s="1"/>
  <c r="F12" i="51"/>
  <c r="K12" i="51" s="1"/>
  <c r="F18" i="51"/>
  <c r="K18" i="51" s="1"/>
  <c r="B22" i="51"/>
  <c r="G22" i="51" s="1"/>
  <c r="B20" i="51"/>
  <c r="B9" i="51" l="1"/>
  <c r="H9" i="51" s="1"/>
  <c r="G30" i="51"/>
  <c r="H30" i="51"/>
  <c r="H33" i="51"/>
  <c r="G33" i="51"/>
  <c r="H27" i="51"/>
  <c r="G27" i="51"/>
  <c r="B15" i="51"/>
  <c r="F14" i="51"/>
  <c r="K14" i="51" s="1"/>
  <c r="B16" i="51"/>
  <c r="B28" i="51"/>
  <c r="B12" i="51"/>
  <c r="B29" i="51"/>
  <c r="F27" i="51"/>
  <c r="B23" i="51"/>
  <c r="B26" i="51"/>
  <c r="F21" i="51"/>
  <c r="K21" i="51" s="1"/>
  <c r="F30" i="51"/>
  <c r="B24" i="51"/>
  <c r="B13" i="51"/>
  <c r="B25" i="51"/>
  <c r="F10" i="51"/>
  <c r="K10" i="51" s="1"/>
  <c r="F33" i="51"/>
  <c r="B31" i="51"/>
  <c r="B34" i="51"/>
  <c r="B50" i="51"/>
  <c r="F50" i="51"/>
  <c r="B40" i="51"/>
  <c r="F40" i="51"/>
  <c r="B45" i="51"/>
  <c r="F45" i="51"/>
  <c r="B49" i="51"/>
  <c r="F49" i="51"/>
  <c r="B47" i="51"/>
  <c r="F47" i="51"/>
  <c r="B36" i="51"/>
  <c r="F36" i="51"/>
  <c r="B44" i="51"/>
  <c r="F44" i="51"/>
  <c r="B46" i="51"/>
  <c r="F46" i="51"/>
  <c r="B38" i="51"/>
  <c r="F38" i="51"/>
  <c r="B42" i="51"/>
  <c r="F42" i="51"/>
  <c r="B35" i="51"/>
  <c r="F35" i="51"/>
  <c r="B39" i="51"/>
  <c r="F39" i="51"/>
  <c r="B17" i="51"/>
  <c r="B18" i="51"/>
  <c r="B37" i="51"/>
  <c r="F37" i="51"/>
  <c r="B41" i="51"/>
  <c r="F41" i="51"/>
  <c r="B48" i="51"/>
  <c r="F48" i="51"/>
  <c r="B43" i="51"/>
  <c r="F43" i="51"/>
  <c r="F9" i="51"/>
  <c r="G9" i="51"/>
  <c r="F32" i="51"/>
  <c r="H32" i="51"/>
  <c r="F22" i="51"/>
  <c r="H22" i="51"/>
  <c r="BG30" i="27"/>
  <c r="BH332" i="27" s="1"/>
  <c r="K33" i="51" l="1"/>
  <c r="G34" i="51"/>
  <c r="H34" i="51"/>
  <c r="F34" i="51"/>
  <c r="G48" i="51"/>
  <c r="H48" i="51"/>
  <c r="G39" i="51"/>
  <c r="H39" i="51"/>
  <c r="H46" i="51"/>
  <c r="G46" i="51"/>
  <c r="H49" i="51"/>
  <c r="G49" i="51"/>
  <c r="H31" i="51"/>
  <c r="G31" i="51"/>
  <c r="F31" i="51"/>
  <c r="H41" i="51"/>
  <c r="G41" i="51"/>
  <c r="H35" i="51"/>
  <c r="G35" i="51"/>
  <c r="H44" i="51"/>
  <c r="G44" i="51"/>
  <c r="H45" i="51"/>
  <c r="G45" i="51"/>
  <c r="G25" i="51"/>
  <c r="H25" i="51"/>
  <c r="F25" i="51"/>
  <c r="H29" i="51"/>
  <c r="G29" i="51"/>
  <c r="F29" i="51"/>
  <c r="H37" i="51"/>
  <c r="G37" i="51"/>
  <c r="G42" i="51"/>
  <c r="H42" i="51"/>
  <c r="H36" i="51"/>
  <c r="G36" i="51"/>
  <c r="H40" i="51"/>
  <c r="G40" i="51"/>
  <c r="G28" i="51"/>
  <c r="H28" i="51"/>
  <c r="F28" i="51"/>
  <c r="K27" i="51"/>
  <c r="G43" i="51"/>
  <c r="H43" i="51"/>
  <c r="G38" i="51"/>
  <c r="H38" i="51"/>
  <c r="H47" i="51"/>
  <c r="G47" i="51"/>
  <c r="H50" i="51"/>
  <c r="G50" i="51"/>
  <c r="K30" i="51"/>
  <c r="K9" i="51"/>
  <c r="K32" i="51"/>
  <c r="K22" i="51"/>
  <c r="BH337" i="27"/>
  <c r="K36" i="51" l="1"/>
  <c r="K40" i="51"/>
  <c r="K44" i="51"/>
  <c r="K50" i="51"/>
  <c r="K42" i="51"/>
  <c r="K46" i="51"/>
  <c r="K37" i="51"/>
  <c r="K35" i="51"/>
  <c r="K45" i="51"/>
  <c r="K49" i="51"/>
  <c r="K38" i="51"/>
  <c r="K29" i="51"/>
  <c r="K31" i="51"/>
  <c r="K39" i="51"/>
  <c r="K48" i="51"/>
  <c r="K43" i="51"/>
  <c r="K47" i="51"/>
  <c r="K41" i="51"/>
  <c r="K34" i="51"/>
  <c r="K28" i="51"/>
  <c r="K25" i="51"/>
  <c r="L211" i="48" l="1"/>
  <c r="F201" i="48"/>
  <c r="F203" i="48"/>
  <c r="F204" i="48"/>
  <c r="F206" i="48"/>
  <c r="F202" i="48"/>
  <c r="F199" i="48"/>
  <c r="F200" i="48"/>
  <c r="F205" i="48"/>
  <c r="L210" i="48" l="1"/>
  <c r="N44" i="51" s="1"/>
  <c r="C19" i="51" l="1"/>
  <c r="B19" i="51" l="1"/>
  <c r="F19" i="51" s="1"/>
  <c r="J17" i="51"/>
  <c r="J19" i="51" l="1"/>
  <c r="J15" i="51"/>
  <c r="J16" i="51"/>
  <c r="J24" i="51"/>
  <c r="K24" i="51" s="1"/>
  <c r="E59" i="51"/>
  <c r="K19" i="51" l="1"/>
  <c r="F11" i="51" l="1"/>
  <c r="G11" i="51"/>
  <c r="K11" i="51" l="1"/>
  <c r="K53" i="51" s="1"/>
</calcChain>
</file>

<file path=xl/comments1.xml><?xml version="1.0" encoding="utf-8"?>
<comments xmlns="http://schemas.openxmlformats.org/spreadsheetml/2006/main">
  <authors>
    <author>Gigi DOMERCQ</author>
    <author>appart</author>
    <author>DOMERCQ, Ghislain (ALTRAN)</author>
    <author>Administrateur HH</author>
  </authors>
  <commentList>
    <comment ref="D3" authorId="0">
      <text>
        <r>
          <rPr>
            <sz val="9"/>
            <color indexed="81"/>
            <rFont val="Tahoma"/>
            <family val="2"/>
          </rPr>
          <t>Ici tu choisis le pays de ta ferme. C'est indispensable!</t>
        </r>
      </text>
    </comment>
    <comment ref="C7" authorId="1">
      <text>
        <r>
          <rPr>
            <sz val="10"/>
            <color indexed="81"/>
            <rFont val="Times New Roman"/>
            <family val="1"/>
          </rPr>
          <t>Sur cette colonne, remplis le nombre de bovins (toutes races) que tu as, suivant sexe et tranche d'âge.</t>
        </r>
      </text>
    </comment>
    <comment ref="D7" authorId="1">
      <text>
        <r>
          <rPr>
            <sz val="10"/>
            <color indexed="81"/>
            <rFont val="Times New Roman"/>
            <family val="1"/>
          </rPr>
          <t>Sur cette colonne, remplis le nombre de bovins de races laitières que tu as, suivant sexe et tranche d'âge. Si tu ne fais que des laitières, la colonne d'à coté (nombre total) suffit.</t>
        </r>
      </text>
    </comment>
    <comment ref="E7" authorId="1">
      <text>
        <r>
          <rPr>
            <sz val="10"/>
            <color indexed="81"/>
            <rFont val="Times New Roman"/>
            <family val="1"/>
          </rPr>
          <t>Sur cette colonne, indiques la qualité générale des aliments utilisés pour tes animaux, par tranche d'âge.</t>
        </r>
      </text>
    </comment>
    <comment ref="F7" authorId="1">
      <text>
        <r>
          <rPr>
            <b/>
            <u/>
            <sz val="10"/>
            <color indexed="14"/>
            <rFont val="Times New Roman"/>
            <family val="1"/>
          </rPr>
          <t>INFO :</t>
        </r>
        <r>
          <rPr>
            <sz val="10"/>
            <color indexed="10"/>
            <rFont val="Times New Roman"/>
            <family val="1"/>
          </rPr>
          <t xml:space="preserve">
Les bovins re race allaitantes,se renseigneront directement ici dès que tu auras renseigné le nombre total de bovins, et le nombre de bovins de races laitières. Si tu ne fais que des allaitantes, ca se remplira aussi :)</t>
        </r>
      </text>
    </comment>
    <comment ref="G7" authorId="1">
      <text>
        <r>
          <rPr>
            <b/>
            <u/>
            <sz val="10"/>
            <color indexed="14"/>
            <rFont val="Times New Roman"/>
            <family val="1"/>
          </rPr>
          <t>INFO :</t>
        </r>
        <r>
          <rPr>
            <sz val="10"/>
            <color indexed="10"/>
            <rFont val="Times New Roman"/>
            <family val="1"/>
          </rPr>
          <t xml:space="preserve">
Les bovins en pâture,se renseigneront directement ici (si la page concernée a été renseignée - lien plus bas-. Penser à effacer les info relatives aux pâturages (avec le lien "tes animaux doivent aller au pré?" à la fin de la période estivale pour ne pas fausser les résultats du fichier).</t>
        </r>
      </text>
    </comment>
    <comment ref="J7" authorId="1">
      <text>
        <r>
          <rPr>
            <sz val="10"/>
            <color indexed="81"/>
            <rFont val="Times New Roman"/>
            <family val="1"/>
          </rPr>
          <t xml:space="preserve">Ici, tu choisis : 
- litière ou caillebotis.
</t>
        </r>
        <r>
          <rPr>
            <b/>
            <u/>
            <sz val="10"/>
            <color indexed="14"/>
            <rFont val="Times New Roman"/>
            <family val="1"/>
          </rPr>
          <t>INFO :</t>
        </r>
        <r>
          <rPr>
            <sz val="10"/>
            <color indexed="10"/>
            <rFont val="Times New Roman"/>
            <family val="1"/>
          </rPr>
          <t xml:space="preserve">
C'est une liste de choix.
</t>
        </r>
      </text>
    </comment>
    <comment ref="M7" authorId="2">
      <text>
        <r>
          <rPr>
            <sz val="10"/>
            <color indexed="81"/>
            <rFont val="Times New Roman"/>
            <family val="1"/>
          </rPr>
          <t xml:space="preserve">Choisis ici si tes bovins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BOVINS vont au pré l'été.</t>
        </r>
      </text>
    </comment>
    <comment ref="J10" authorId="1">
      <text>
        <r>
          <rPr>
            <sz val="10"/>
            <color indexed="81"/>
            <rFont val="Times New Roman"/>
            <family val="1"/>
          </rPr>
          <t xml:space="preserve">Choisis la ration utilisée pour nourrir les bovins.
</t>
        </r>
        <r>
          <rPr>
            <b/>
            <u/>
            <sz val="10"/>
            <color indexed="14"/>
            <rFont val="Times New Roman"/>
            <family val="1"/>
          </rPr>
          <t>INFO :</t>
        </r>
        <r>
          <rPr>
            <sz val="10"/>
            <color indexed="10"/>
            <rFont val="Times New Roman"/>
            <family val="1"/>
          </rPr>
          <t xml:space="preserve">
C'est une liste de choix. </t>
        </r>
      </text>
    </comment>
    <comment ref="M10" authorId="2">
      <text>
        <r>
          <rPr>
            <sz val="10"/>
            <color indexed="81"/>
            <rFont val="Times New Roman"/>
            <family val="1"/>
          </rPr>
          <t xml:space="preserve">Choisis ici si tes bovins allaitants (si tu en as)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3"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13"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9" authorId="3">
      <text>
        <r>
          <rPr>
            <sz val="10"/>
            <color indexed="81"/>
            <rFont val="Times New Roman"/>
            <family val="1"/>
          </rPr>
          <t xml:space="preserve">Choisis : 
-orge, blé ou triticale
-tourteau de colza, canola ou soja
</t>
        </r>
        <r>
          <rPr>
            <b/>
            <u/>
            <sz val="10"/>
            <color indexed="14"/>
            <rFont val="Times New Roman"/>
            <family val="1"/>
          </rPr>
          <t>INFO :</t>
        </r>
        <r>
          <rPr>
            <sz val="10"/>
            <color indexed="10"/>
            <rFont val="Times New Roman"/>
            <family val="1"/>
          </rPr>
          <t xml:space="preserve">
C'est une liste de choix dans les 2 cas.</t>
        </r>
      </text>
    </comment>
    <comment ref="J23"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7" authorId="1">
      <text>
        <r>
          <rPr>
            <sz val="10"/>
            <color indexed="81"/>
            <rFont val="Times New Roman"/>
            <family val="1"/>
          </rPr>
          <t xml:space="preserve">Sur cette colonne, remplis le nombre de bisons que tu as, suivant sexe et tranche d'âge.
</t>
        </r>
        <r>
          <rPr>
            <b/>
            <u/>
            <sz val="10"/>
            <color indexed="14"/>
            <rFont val="Times New Roman"/>
            <family val="1"/>
          </rPr>
          <t>INFO :</t>
        </r>
        <r>
          <rPr>
            <sz val="10"/>
            <color indexed="10"/>
            <rFont val="Times New Roman"/>
            <family val="1"/>
          </rPr>
          <t xml:space="preserve">
Contrairement aux autres espèces, les bisons restent toute l'année au pré. Ils doivent recevoir des aliments pendant la période hivernale.</t>
        </r>
      </text>
    </comment>
    <comment ref="D27" authorId="1">
      <text>
        <r>
          <rPr>
            <sz val="10"/>
            <color indexed="81"/>
            <rFont val="Times New Roman"/>
            <family val="1"/>
          </rPr>
          <t>Sur cette colonne, indiques la qualité générale des aliments utilisés pour tes animaux, par tranche d'âge.</t>
        </r>
      </text>
    </comment>
    <comment ref="E27" authorId="1">
      <text>
        <r>
          <rPr>
            <b/>
            <u/>
            <sz val="10"/>
            <color indexed="14"/>
            <rFont val="Times New Roman"/>
            <family val="1"/>
          </rPr>
          <t>INFO :</t>
        </r>
        <r>
          <rPr>
            <sz val="10"/>
            <color indexed="10"/>
            <rFont val="Times New Roman"/>
            <family val="1"/>
          </rPr>
          <t xml:space="preserve">
Les bovins en pâture,se renseigneront directement ici (si la page concernée a été renseignée - lien plus bas-. Penser à effacer les info relatives aux pâturages (avec le lien "tes animaux doivent aller au pré?" à la fin de la période estivale pour ne pas fausser les résultats du fichier).</t>
        </r>
      </text>
    </comment>
    <comment ref="J27" authorId="1">
      <text>
        <r>
          <rPr>
            <sz val="10"/>
            <color indexed="81"/>
            <rFont val="Times New Roman"/>
            <family val="1"/>
          </rPr>
          <t xml:space="preserve">Choisis la ration utilisée pour nourrir les bisons.
</t>
        </r>
        <r>
          <rPr>
            <b/>
            <u/>
            <sz val="10"/>
            <color indexed="14"/>
            <rFont val="Times New Roman"/>
            <family val="1"/>
          </rPr>
          <t>INFO :</t>
        </r>
        <r>
          <rPr>
            <sz val="10"/>
            <color indexed="10"/>
            <rFont val="Times New Roman"/>
            <family val="1"/>
          </rPr>
          <t xml:space="preserve">
C'est une liste de choix. </t>
        </r>
      </text>
    </comment>
    <comment ref="J30"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36" authorId="3">
      <text>
        <r>
          <rPr>
            <sz val="10"/>
            <color indexed="81"/>
            <rFont val="Times New Roman"/>
            <family val="1"/>
          </rPr>
          <t xml:space="preserve">Ici, choisis : 
-triticale ou blé
</t>
        </r>
        <r>
          <rPr>
            <b/>
            <u/>
            <sz val="10"/>
            <color indexed="14"/>
            <rFont val="Times New Roman"/>
            <family val="1"/>
          </rPr>
          <t>INFO :</t>
        </r>
        <r>
          <rPr>
            <sz val="10"/>
            <color indexed="10"/>
            <rFont val="Times New Roman"/>
            <family val="1"/>
          </rPr>
          <t xml:space="preserve">
C'est une liste de choix.</t>
        </r>
      </text>
    </comment>
    <comment ref="J39" authorId="1">
      <text>
        <r>
          <rPr>
            <sz val="10"/>
            <color indexed="81"/>
            <rFont val="Times New Roman"/>
            <family val="1"/>
          </rPr>
          <t xml:space="preserve">Choisis si tu vaccines tes animaux.
</t>
        </r>
        <r>
          <rPr>
            <b/>
            <u/>
            <sz val="10"/>
            <color indexed="14"/>
            <rFont val="Times New Roman"/>
            <family val="1"/>
          </rPr>
          <t>INFO :</t>
        </r>
        <r>
          <rPr>
            <sz val="10"/>
            <color indexed="10"/>
            <rFont val="Times New Roman"/>
            <family val="1"/>
          </rPr>
          <t xml:space="preserve">
C'est une liste de choix.
Les vaccins ne sont pas obligatoire mais ils sont très conseillés pour éviter/limiter les maladies!
</t>
        </r>
        <r>
          <rPr>
            <b/>
            <sz val="10"/>
            <color indexed="10"/>
            <rFont val="Times New Roman"/>
            <family val="1"/>
          </rPr>
          <t>ATTENTION : le choix concerne TOUTES les bêtes de l'espèce!!</t>
        </r>
      </text>
    </comment>
    <comment ref="C44" authorId="1">
      <text>
        <r>
          <rPr>
            <sz val="10"/>
            <color indexed="81"/>
            <rFont val="Times New Roman"/>
            <family val="1"/>
          </rPr>
          <t>Sur cette colonne, remplis le nombre de caprins que tu as, suivant sexe et tranche d'âge.</t>
        </r>
      </text>
    </comment>
    <comment ref="D44" authorId="1">
      <text>
        <r>
          <rPr>
            <sz val="10"/>
            <color indexed="81"/>
            <rFont val="Times New Roman"/>
            <family val="1"/>
          </rPr>
          <t>Sur cette colonne, indiques la qualité générale des aliments utilisés pour tes animaux, par tranche d'âge.</t>
        </r>
      </text>
    </comment>
    <comment ref="E44" authorId="1">
      <text>
        <r>
          <rPr>
            <b/>
            <u/>
            <sz val="10"/>
            <color indexed="14"/>
            <rFont val="Times New Roman"/>
            <family val="1"/>
          </rPr>
          <t>INFO :</t>
        </r>
        <r>
          <rPr>
            <sz val="10"/>
            <color indexed="10"/>
            <rFont val="Times New Roman"/>
            <family val="1"/>
          </rPr>
          <t xml:space="preserve">
Si tu as des caprins en pâture, ils se renseigneront directement ici (si tu as renseigné la page concernée en utilisant le lien "tes animaux doivent aller au pré?" que tu trouveras ci-dessous). Attention à bien penser à les effacer (dans la page des pâturages) quand ils n'y sont plus pour ne pas fausser les résultats du fichier).</t>
        </r>
      </text>
    </comment>
    <comment ref="J44" authorId="1">
      <text>
        <r>
          <rPr>
            <sz val="10"/>
            <color indexed="81"/>
            <rFont val="Times New Roman"/>
            <family val="1"/>
          </rPr>
          <t xml:space="preserve">Choisis la ration utilisée pour nourrir les bisons.
</t>
        </r>
        <r>
          <rPr>
            <b/>
            <u/>
            <sz val="10"/>
            <color indexed="14"/>
            <rFont val="Times New Roman"/>
            <family val="1"/>
          </rPr>
          <t>INFO :</t>
        </r>
        <r>
          <rPr>
            <sz val="10"/>
            <color indexed="10"/>
            <rFont val="Times New Roman"/>
            <family val="1"/>
          </rPr>
          <t xml:space="preserve">
C'est une liste de choix. </t>
        </r>
      </text>
    </comment>
    <comment ref="M44" authorId="2">
      <text>
        <r>
          <rPr>
            <sz val="10"/>
            <color indexed="81"/>
            <rFont val="Times New Roman"/>
            <family val="1"/>
          </rPr>
          <t xml:space="preserve">Choisis ici si tes caprins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CAPRINS vont au pré l'été.</t>
        </r>
      </text>
    </comment>
    <comment ref="J47"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53" authorId="3">
      <text>
        <r>
          <rPr>
            <sz val="10"/>
            <color indexed="81"/>
            <rFont val="Times New Roman"/>
            <family val="1"/>
          </rPr>
          <t>C</t>
        </r>
        <r>
          <rPr>
            <sz val="10"/>
            <rFont val="Times New Roman"/>
            <family val="1"/>
          </rPr>
          <t xml:space="preserve">hoisis : 
-triticale ou blé
</t>
        </r>
        <r>
          <rPr>
            <b/>
            <u/>
            <sz val="10"/>
            <color indexed="14"/>
            <rFont val="Times New Roman"/>
            <family val="1"/>
          </rPr>
          <t>INFO :</t>
        </r>
        <r>
          <rPr>
            <sz val="10"/>
            <color indexed="10"/>
            <rFont val="Times New Roman"/>
            <family val="1"/>
          </rPr>
          <t xml:space="preserve">
C'est une liste de choix.</t>
        </r>
      </text>
    </comment>
    <comment ref="J56"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60" authorId="1">
      <text>
        <r>
          <rPr>
            <sz val="10"/>
            <color indexed="81"/>
            <rFont val="Times New Roman"/>
            <family val="1"/>
          </rPr>
          <t>Sur cette colonne, remplis le nombre de porcins que tu as, suivant sexe et tranche d'âge.</t>
        </r>
      </text>
    </comment>
    <comment ref="D60" authorId="1">
      <text>
        <r>
          <rPr>
            <sz val="10"/>
            <color indexed="81"/>
            <rFont val="Times New Roman"/>
            <family val="1"/>
          </rPr>
          <t>Sur cette colonne, indiques la qualité générale des aliments utilisés pour tes animaux, par tranche d'âge.</t>
        </r>
      </text>
    </comment>
    <comment ref="J60" authorId="1">
      <text>
        <r>
          <rPr>
            <sz val="10"/>
            <color indexed="81"/>
            <rFont val="Times New Roman"/>
            <family val="1"/>
          </rPr>
          <t xml:space="preserve">Choisis la ration utilisée pour nourrir les porcins.
</t>
        </r>
        <r>
          <rPr>
            <b/>
            <u/>
            <sz val="10"/>
            <color indexed="14"/>
            <rFont val="Times New Roman"/>
            <family val="1"/>
          </rPr>
          <t>INFO :</t>
        </r>
        <r>
          <rPr>
            <sz val="10"/>
            <color indexed="10"/>
            <rFont val="Times New Roman"/>
            <family val="1"/>
          </rPr>
          <t xml:space="preserve">
C'est une liste de choix. </t>
        </r>
      </text>
    </comment>
    <comment ref="J63" authorId="1">
      <text>
        <r>
          <rPr>
            <sz val="10"/>
            <color indexed="81"/>
            <rFont val="Times New Roman"/>
            <family val="1"/>
          </rPr>
          <t xml:space="preserve">Ici, tu choisis : 
- litière (sans label), plein air (avec label) ou caillebotis.
</t>
        </r>
        <r>
          <rPr>
            <b/>
            <u/>
            <sz val="10"/>
            <color indexed="14"/>
            <rFont val="Times New Roman"/>
            <family val="1"/>
          </rPr>
          <t>INFO :</t>
        </r>
        <r>
          <rPr>
            <sz val="10"/>
            <color indexed="10"/>
            <rFont val="Times New Roman"/>
            <family val="1"/>
          </rPr>
          <t xml:space="preserve">
C'est une liste de choix.
Pour l'élevage en plein air, tu dois avoir des parcs à porcins.</t>
        </r>
      </text>
    </comment>
    <comment ref="J66"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72" authorId="3">
      <text>
        <r>
          <rPr>
            <sz val="10"/>
            <color indexed="81"/>
            <rFont val="Times New Roman"/>
            <family val="1"/>
          </rPr>
          <t>I</t>
        </r>
        <r>
          <rPr>
            <sz val="10"/>
            <rFont val="Times New Roman"/>
            <family val="1"/>
          </rPr>
          <t xml:space="preserve">ci, tu choisis : 
-triticale, blé ou seigle
</t>
        </r>
        <r>
          <rPr>
            <b/>
            <u/>
            <sz val="10"/>
            <color indexed="14"/>
            <rFont val="Times New Roman"/>
            <family val="1"/>
          </rPr>
          <t>INFO :</t>
        </r>
        <r>
          <rPr>
            <sz val="10"/>
            <color indexed="10"/>
            <rFont val="Times New Roman"/>
            <family val="1"/>
          </rPr>
          <t xml:space="preserve">
C'est une liste de choix.
</t>
        </r>
      </text>
    </comment>
    <comment ref="J75"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79" authorId="1">
      <text>
        <r>
          <rPr>
            <sz val="10"/>
            <color indexed="81"/>
            <rFont val="Times New Roman"/>
            <family val="1"/>
          </rPr>
          <t>Sur cette colonne, remplis le nombre de volailles (poules) que tu as, suivant sexe et tranche d'âge.</t>
        </r>
      </text>
    </comment>
    <comment ref="D79" authorId="1">
      <text>
        <r>
          <rPr>
            <sz val="10"/>
            <color indexed="81"/>
            <rFont val="Times New Roman"/>
            <family val="1"/>
          </rPr>
          <t>Sur cette colonne, indiques la qualité générale des aliments utilisés pour tes animaux, par tranche d'âge.</t>
        </r>
      </text>
    </comment>
    <comment ref="J79" authorId="1">
      <text>
        <r>
          <rPr>
            <sz val="10"/>
            <color indexed="81"/>
            <rFont val="Times New Roman"/>
            <family val="1"/>
          </rPr>
          <t xml:space="preserve">Choisis la ration utilisée pour nourrir les poules.
</t>
        </r>
        <r>
          <rPr>
            <b/>
            <u/>
            <sz val="10"/>
            <color indexed="14"/>
            <rFont val="Times New Roman"/>
            <family val="1"/>
          </rPr>
          <t>INFO :</t>
        </r>
        <r>
          <rPr>
            <sz val="10"/>
            <color indexed="10"/>
            <rFont val="Times New Roman"/>
            <family val="1"/>
          </rPr>
          <t xml:space="preserve">
C'est une liste de choix. </t>
        </r>
      </text>
    </comment>
    <comment ref="J82" authorId="3">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J85"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91"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J94"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98" authorId="1">
      <text>
        <r>
          <rPr>
            <sz val="10"/>
            <color indexed="81"/>
            <rFont val="Times New Roman"/>
            <family val="1"/>
          </rPr>
          <t>Sur cette colonne, remplis le nombre de pintades que tu as, suivant sexe et tranche d'âge.</t>
        </r>
      </text>
    </comment>
    <comment ref="D98" authorId="1">
      <text>
        <r>
          <rPr>
            <sz val="10"/>
            <color indexed="81"/>
            <rFont val="Times New Roman"/>
            <family val="1"/>
          </rPr>
          <t>Sur cette colonne, indiques la qualité générale des aliments utilisés pour tes animaux, par tranche d'âge.</t>
        </r>
      </text>
    </comment>
    <comment ref="J98" authorId="1">
      <text>
        <r>
          <rPr>
            <sz val="10"/>
            <color indexed="81"/>
            <rFont val="Times New Roman"/>
            <family val="1"/>
          </rPr>
          <t xml:space="preserve">Choisis la ration utilisée pour nourrir les pintades.
</t>
        </r>
        <r>
          <rPr>
            <b/>
            <u/>
            <sz val="10"/>
            <color indexed="14"/>
            <rFont val="Times New Roman"/>
            <family val="1"/>
          </rPr>
          <t>INFO :</t>
        </r>
        <r>
          <rPr>
            <sz val="10"/>
            <color indexed="10"/>
            <rFont val="Times New Roman"/>
            <family val="1"/>
          </rPr>
          <t xml:space="preserve">
C'est une liste de choix. </t>
        </r>
      </text>
    </comment>
    <comment ref="J101" authorId="3">
      <text>
        <r>
          <rPr>
            <sz val="10"/>
            <color indexed="81"/>
            <rFont val="Times New Roman"/>
            <family val="1"/>
          </rPr>
          <t>I</t>
        </r>
        <r>
          <rPr>
            <sz val="10"/>
            <rFont val="Times New Roman"/>
            <family val="1"/>
          </rPr>
          <t xml:space="preserve">ci, tu choisis : 
-intensif ou semi-liberté
</t>
        </r>
        <r>
          <rPr>
            <b/>
            <u/>
            <sz val="10"/>
            <color indexed="14"/>
            <rFont val="Times New Roman"/>
            <family val="1"/>
          </rPr>
          <t>INFO :</t>
        </r>
        <r>
          <rPr>
            <sz val="10"/>
            <color indexed="10"/>
            <rFont val="Times New Roman"/>
            <family val="1"/>
          </rPr>
          <t xml:space="preserve">
C'est une liste de choix.
Pour élever en semi-liberté, il te faut des parcs à volailles.</t>
        </r>
      </text>
    </comment>
    <comment ref="J104"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10"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J113"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17" authorId="1">
      <text>
        <r>
          <rPr>
            <sz val="10"/>
            <color indexed="81"/>
            <rFont val="Times New Roman"/>
            <family val="1"/>
          </rPr>
          <t>Sur cette colonne, remplis le nombre de lapins que tu as, suivant sexe et tranche d'âge.</t>
        </r>
      </text>
    </comment>
    <comment ref="D117" authorId="1">
      <text>
        <r>
          <rPr>
            <sz val="10"/>
            <color indexed="81"/>
            <rFont val="Times New Roman"/>
            <family val="1"/>
          </rPr>
          <t>Sur cette colonne, indiques la qualité générale des aliments utilisés pour tes animaux, par tranche d'âge.</t>
        </r>
      </text>
    </comment>
    <comment ref="J117" authorId="1">
      <text>
        <r>
          <rPr>
            <sz val="10"/>
            <color indexed="81"/>
            <rFont val="Times New Roman"/>
            <family val="1"/>
          </rPr>
          <t xml:space="preserve">Choisis la ration utilisée pour nourrir les lapins.
</t>
        </r>
        <r>
          <rPr>
            <b/>
            <u/>
            <sz val="10"/>
            <color indexed="14"/>
            <rFont val="Times New Roman"/>
            <family val="1"/>
          </rPr>
          <t>INFO :</t>
        </r>
        <r>
          <rPr>
            <sz val="10"/>
            <color indexed="10"/>
            <rFont val="Times New Roman"/>
            <family val="1"/>
          </rPr>
          <t xml:space="preserve">
C'est une liste de choix. </t>
        </r>
      </text>
    </comment>
    <comment ref="J120" authorId="3">
      <text>
        <r>
          <rPr>
            <sz val="10"/>
            <color indexed="81"/>
            <rFont val="Times New Roman"/>
            <family val="1"/>
          </rPr>
          <t>I</t>
        </r>
        <r>
          <rPr>
            <sz val="10"/>
            <rFont val="Times New Roman"/>
            <family val="1"/>
          </rPr>
          <t xml:space="preserve">ci, tu choisis : 
-conventionnel ou bio
</t>
        </r>
        <r>
          <rPr>
            <b/>
            <u/>
            <sz val="10"/>
            <color indexed="14"/>
            <rFont val="Times New Roman"/>
            <family val="1"/>
          </rPr>
          <t>INFO :</t>
        </r>
        <r>
          <rPr>
            <sz val="10"/>
            <color indexed="10"/>
            <rFont val="Times New Roman"/>
            <family val="1"/>
          </rPr>
          <t xml:space="preserve">
C'est une liste de choix.
Pour élever en bio, il te faut des parcs à lapins.</t>
        </r>
      </text>
    </comment>
    <comment ref="J123"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29" authorId="3">
      <text>
        <r>
          <rPr>
            <sz val="10"/>
            <color indexed="81"/>
            <rFont val="Times New Roman"/>
            <family val="1"/>
          </rPr>
          <t>I</t>
        </r>
        <r>
          <rPr>
            <sz val="10"/>
            <rFont val="Times New Roman"/>
            <family val="1"/>
          </rPr>
          <t xml:space="preserve">ci, tu choisis : 
-triticale ou blé
-pois ou fèverole
</t>
        </r>
        <r>
          <rPr>
            <b/>
            <u/>
            <sz val="10"/>
            <color indexed="14"/>
            <rFont val="Times New Roman"/>
            <family val="1"/>
          </rPr>
          <t>INFO :</t>
        </r>
        <r>
          <rPr>
            <sz val="10"/>
            <color indexed="10"/>
            <rFont val="Times New Roman"/>
            <family val="1"/>
          </rPr>
          <t xml:space="preserve">
C'est une liste de choix.</t>
        </r>
      </text>
    </comment>
    <comment ref="J133"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137" authorId="1">
      <text>
        <r>
          <rPr>
            <sz val="10"/>
            <color indexed="81"/>
            <rFont val="Times New Roman"/>
            <family val="1"/>
          </rPr>
          <t>Sur cette colonne, remplis le nombre d'oies que tu as, suivant sexe et tranche d'âge.</t>
        </r>
      </text>
    </comment>
    <comment ref="D137" authorId="1">
      <text>
        <r>
          <rPr>
            <sz val="10"/>
            <color indexed="81"/>
            <rFont val="Times New Roman"/>
            <family val="1"/>
          </rPr>
          <t>Sur cette colonne, indiques la qualité générale des aliments utilisés pour tes animaux, par tranche d'âge.</t>
        </r>
      </text>
    </comment>
    <comment ref="J137" authorId="1">
      <text>
        <r>
          <rPr>
            <sz val="10"/>
            <color indexed="81"/>
            <rFont val="Times New Roman"/>
            <family val="1"/>
          </rPr>
          <t xml:space="preserve">Choisis la ration utilisée pour nourrir les oies.
</t>
        </r>
        <r>
          <rPr>
            <b/>
            <u/>
            <sz val="10"/>
            <color indexed="14"/>
            <rFont val="Times New Roman"/>
            <family val="1"/>
          </rPr>
          <t>INFO :</t>
        </r>
        <r>
          <rPr>
            <sz val="10"/>
            <color indexed="10"/>
            <rFont val="Times New Roman"/>
            <family val="1"/>
          </rPr>
          <t xml:space="preserve">
C'est une liste de choix. </t>
        </r>
      </text>
    </comment>
    <comment ref="J140"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46"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J149"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C153" authorId="1">
      <text>
        <r>
          <rPr>
            <sz val="10"/>
            <color indexed="81"/>
            <rFont val="Times New Roman"/>
            <family val="1"/>
          </rPr>
          <t>Sur cette colonne, remplis le nombre de canards que tu as, suivant sexe et tranche d'âge.</t>
        </r>
      </text>
    </comment>
    <comment ref="D153" authorId="1">
      <text>
        <r>
          <rPr>
            <sz val="10"/>
            <color indexed="81"/>
            <rFont val="Times New Roman"/>
            <family val="1"/>
          </rPr>
          <t>Sur cette colonne, indiques la qualité générale des aliments utilisés pour tes animaux, par tranche d'âge.</t>
        </r>
      </text>
    </comment>
    <comment ref="J153" authorId="1">
      <text>
        <r>
          <rPr>
            <sz val="10"/>
            <color indexed="81"/>
            <rFont val="Times New Roman"/>
            <family val="1"/>
          </rPr>
          <t xml:space="preserve">Choisis la ration utilisée pour nourrir les canards.
</t>
        </r>
        <r>
          <rPr>
            <b/>
            <u/>
            <sz val="10"/>
            <color indexed="14"/>
            <rFont val="Times New Roman"/>
            <family val="1"/>
          </rPr>
          <t>INFO :</t>
        </r>
        <r>
          <rPr>
            <sz val="10"/>
            <color indexed="10"/>
            <rFont val="Times New Roman"/>
            <family val="1"/>
          </rPr>
          <t xml:space="preserve">
C'est une liste de choix. </t>
        </r>
      </text>
    </comment>
    <comment ref="J156"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62"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J165"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il te faut renseigner le lien plus bas "assez d'aliments dans tes silos?"
</t>
        </r>
        <r>
          <rPr>
            <b/>
            <sz val="10"/>
            <color indexed="10"/>
            <rFont val="Times New Roman"/>
            <family val="1"/>
          </rPr>
          <t>ATTENTION : le choix concerne TOUTES les bêtes de l'espèce!!</t>
        </r>
      </text>
    </comment>
    <comment ref="J169" authorId="1">
      <text>
        <r>
          <rPr>
            <sz val="10"/>
            <color indexed="81"/>
            <rFont val="Times New Roman"/>
            <family val="1"/>
          </rPr>
          <t xml:space="preserve">Choisis la ration utilisée pour gaver tes oies.
</t>
        </r>
        <r>
          <rPr>
            <b/>
            <u/>
            <sz val="10"/>
            <color indexed="14"/>
            <rFont val="Times New Roman"/>
            <family val="1"/>
          </rPr>
          <t>INFO :</t>
        </r>
        <r>
          <rPr>
            <sz val="10"/>
            <color indexed="10"/>
            <rFont val="Times New Roman"/>
            <family val="1"/>
          </rPr>
          <t xml:space="preserve">
C'est une liste de choix.</t>
        </r>
      </text>
    </comment>
    <comment ref="C170" authorId="1">
      <text>
        <r>
          <rPr>
            <sz val="10"/>
            <color indexed="81"/>
            <rFont val="Times New Roman"/>
            <family val="1"/>
          </rPr>
          <t>Sur cette colonne, remplis le nombre d'oisons que tu as, par tranche d'âge entre 0 et 3 mois (pour la phase d'élevage).</t>
        </r>
      </text>
    </comment>
    <comment ref="D170" authorId="1">
      <text>
        <r>
          <rPr>
            <sz val="10"/>
            <color indexed="81"/>
            <rFont val="Times New Roman"/>
            <family val="1"/>
          </rPr>
          <t>Sur cette colonne, indiques la qualité générale des aliments utilisés pour tes animaux, par tranche d'âge.</t>
        </r>
      </text>
    </comment>
    <comment ref="G170" authorId="1">
      <text>
        <r>
          <rPr>
            <sz val="10"/>
            <color indexed="81"/>
            <rFont val="Times New Roman"/>
            <family val="1"/>
          </rPr>
          <t>Sur cette colonne, remplis le nombre de jeunes oies que tu as, de plus de 3 mois (phase de gavage).</t>
        </r>
      </text>
    </comment>
    <comment ref="H170" authorId="1">
      <text>
        <r>
          <rPr>
            <sz val="10"/>
            <color indexed="81"/>
            <rFont val="Times New Roman"/>
            <family val="1"/>
          </rPr>
          <t>Sur cette colonne, indiques la qualité générale des aliments utilisés pour tes animaux, par tranche d'âge.</t>
        </r>
      </text>
    </comment>
    <comment ref="J172"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78"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Le dernier aliment (colza ou canola) dépend du pays où est ta ferme (à définir sur cette page).</t>
        </r>
      </text>
    </comment>
    <comment ref="J185" authorId="1">
      <text>
        <r>
          <rPr>
            <sz val="10"/>
            <color indexed="81"/>
            <rFont val="Times New Roman"/>
            <family val="1"/>
          </rPr>
          <t xml:space="preserve">Choisis la ration utilisée pour gaver tes canards.
</t>
        </r>
        <r>
          <rPr>
            <b/>
            <u/>
            <sz val="10"/>
            <color indexed="14"/>
            <rFont val="Times New Roman"/>
            <family val="1"/>
          </rPr>
          <t>INFO :</t>
        </r>
        <r>
          <rPr>
            <sz val="10"/>
            <color indexed="10"/>
            <rFont val="Times New Roman"/>
            <family val="1"/>
          </rPr>
          <t xml:space="preserve">
C'est une liste de choix. </t>
        </r>
      </text>
    </comment>
    <comment ref="C186" authorId="1">
      <text>
        <r>
          <rPr>
            <sz val="10"/>
            <color indexed="81"/>
            <rFont val="Times New Roman"/>
            <family val="1"/>
          </rPr>
          <t>Sur cette colonne, remplis le nombre de canetons que tu as, par tranche d'âge entre 0 et 3 mois (phase d'élevage).</t>
        </r>
      </text>
    </comment>
    <comment ref="D186" authorId="1">
      <text>
        <r>
          <rPr>
            <sz val="10"/>
            <color indexed="81"/>
            <rFont val="Times New Roman"/>
            <family val="1"/>
          </rPr>
          <t>Sur cette colonne, indiques la qualité générale des aliments utilisés pour tes animaux, par tranche d'âge.</t>
        </r>
      </text>
    </comment>
    <comment ref="G186" authorId="1">
      <text>
        <r>
          <rPr>
            <sz val="10"/>
            <color indexed="81"/>
            <rFont val="Times New Roman"/>
            <family val="1"/>
          </rPr>
          <t>Sur cette colonne, remplis le nombre de jeunes canards que tu as de plus de 3 mois (phase de gavage).</t>
        </r>
      </text>
    </comment>
    <comment ref="H186" authorId="1">
      <text>
        <r>
          <rPr>
            <sz val="10"/>
            <color indexed="81"/>
            <rFont val="Times New Roman"/>
            <family val="1"/>
          </rPr>
          <t>Sur cette colonne, indiques la qualité générale des aliments utilisés pour tes animaux, par tranche d'âge.</t>
        </r>
      </text>
    </comment>
    <comment ref="J188"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194" authorId="3">
      <text>
        <r>
          <rPr>
            <sz val="10"/>
            <color indexed="81"/>
            <rFont val="Times New Roman"/>
            <family val="1"/>
          </rPr>
          <t>I</t>
        </r>
        <r>
          <rPr>
            <sz val="10"/>
            <rFont val="Times New Roman"/>
            <family val="1"/>
          </rPr>
          <t xml:space="preserve">ci, tu choisis : 
-triticale ou blé
</t>
        </r>
        <r>
          <rPr>
            <b/>
            <u/>
            <sz val="10"/>
            <color indexed="14"/>
            <rFont val="Times New Roman"/>
            <family val="1"/>
          </rPr>
          <t>INFO :</t>
        </r>
        <r>
          <rPr>
            <sz val="10"/>
            <color indexed="10"/>
            <rFont val="Times New Roman"/>
            <family val="1"/>
          </rPr>
          <t xml:space="preserve">
C'est une liste de choix.
</t>
        </r>
      </text>
    </comment>
    <comment ref="C198" authorId="1">
      <text>
        <r>
          <rPr>
            <sz val="10"/>
            <color indexed="81"/>
            <rFont val="Times New Roman"/>
            <family val="1"/>
          </rPr>
          <t>Sur cette colonne, remplis le nombre d'ovins que tu as, suivant sexe et tranche d'âge.</t>
        </r>
      </text>
    </comment>
    <comment ref="D198" authorId="1">
      <text>
        <r>
          <rPr>
            <sz val="10"/>
            <color indexed="81"/>
            <rFont val="Times New Roman"/>
            <family val="1"/>
          </rPr>
          <t>Sur cette colonne, remplis le nombre d'ovins de races laitières que tu as, suivant sexe et tranche d'âge. Si tu ne fais que des laitières, la colonne d'à coté (nombre total) suffit.</t>
        </r>
      </text>
    </comment>
    <comment ref="E198" authorId="1">
      <text>
        <r>
          <rPr>
            <sz val="10"/>
            <color indexed="81"/>
            <rFont val="Times New Roman"/>
            <family val="1"/>
          </rPr>
          <t>Sur cette colonne, indiques la qualité générale des aliments utilisés pour tes animaux, par tranche d'âge.</t>
        </r>
      </text>
    </comment>
    <comment ref="F198" authorId="1">
      <text>
        <r>
          <rPr>
            <b/>
            <u/>
            <sz val="10"/>
            <color indexed="14"/>
            <rFont val="Times New Roman"/>
            <family val="1"/>
          </rPr>
          <t>INFO :</t>
        </r>
        <r>
          <rPr>
            <sz val="10"/>
            <color indexed="10"/>
            <rFont val="Times New Roman"/>
            <family val="1"/>
          </rPr>
          <t xml:space="preserve">
Les ovins re race allaitantes,se renseigneront directement ici dès que tu auras renseigné le nombre total de bovins, et le nombre de bovins de races laitières.</t>
        </r>
      </text>
    </comment>
    <comment ref="G198" authorId="1">
      <text>
        <r>
          <rPr>
            <b/>
            <u/>
            <sz val="10"/>
            <color indexed="14"/>
            <rFont val="Times New Roman"/>
            <family val="1"/>
          </rPr>
          <t>INFO :</t>
        </r>
        <r>
          <rPr>
            <sz val="10"/>
            <color indexed="10"/>
            <rFont val="Times New Roman"/>
            <family val="1"/>
          </rPr>
          <t xml:space="preserve">
Si tu as des ovins en pâture, ils se renseigneront directement ici (si tu as renseigné la page concernée en utilisant le lien que tu trouveras plus bas). Attention à bien penser à les effacer (dans la page des pâturages) quand ils n'y sont plus, pour ne pas fausser les résultats de ce fichier).</t>
        </r>
      </text>
    </comment>
    <comment ref="J198" authorId="1">
      <text>
        <r>
          <rPr>
            <sz val="10"/>
            <color indexed="81"/>
            <rFont val="Times New Roman"/>
            <family val="1"/>
          </rPr>
          <t xml:space="preserve">Choisis la ration utilisée pour nourrir les ovins.
</t>
        </r>
        <r>
          <rPr>
            <b/>
            <u/>
            <sz val="10"/>
            <color indexed="14"/>
            <rFont val="Times New Roman"/>
            <family val="1"/>
          </rPr>
          <t>INFO :</t>
        </r>
        <r>
          <rPr>
            <sz val="10"/>
            <color indexed="10"/>
            <rFont val="Times New Roman"/>
            <family val="1"/>
          </rPr>
          <t xml:space="preserve">
C'est une liste de choix. </t>
        </r>
      </text>
    </comment>
    <comment ref="M198" authorId="2">
      <text>
        <r>
          <rPr>
            <sz val="10"/>
            <color indexed="81"/>
            <rFont val="Times New Roman"/>
            <family val="1"/>
          </rPr>
          <t xml:space="preserve">Choisis ici si tes ovins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OVINS vont au pré l'été.</t>
        </r>
      </text>
    </comment>
    <comment ref="J201"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01" authorId="2">
      <text>
        <r>
          <rPr>
            <sz val="10"/>
            <color indexed="81"/>
            <rFont val="Times New Roman"/>
            <family val="1"/>
          </rPr>
          <t xml:space="preserve">Choisis ici si tes ovins allaitants (si tu en as)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04"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07" authorId="3">
      <text>
        <r>
          <rPr>
            <sz val="10"/>
            <color indexed="81"/>
            <rFont val="Times New Roman"/>
            <family val="1"/>
          </rPr>
          <t xml:space="preserve">Ici, tu choisis : 
-orge, blé ou triticale.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10"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14" authorId="1">
      <text>
        <r>
          <rPr>
            <sz val="10"/>
            <color indexed="81"/>
            <rFont val="Times New Roman"/>
            <family val="1"/>
          </rPr>
          <t xml:space="preserve">Sur cette colonne, remplis le nombre de bisons que tu as, suivant sexe et tranche d'âge.
</t>
        </r>
        <r>
          <rPr>
            <b/>
            <u/>
            <sz val="10"/>
            <color indexed="14"/>
            <rFont val="Times New Roman"/>
            <family val="1"/>
          </rPr>
          <t>INFO :</t>
        </r>
        <r>
          <rPr>
            <sz val="10"/>
            <color indexed="10"/>
            <rFont val="Times New Roman"/>
            <family val="1"/>
          </rPr>
          <t xml:space="preserve">
Contrairement aux autres espèces, les daims restent toute l'année au pré. Ils doivent recevoir des aliments pendant la période hivernale.</t>
        </r>
      </text>
    </comment>
    <comment ref="D214" authorId="1">
      <text>
        <r>
          <rPr>
            <sz val="10"/>
            <color indexed="81"/>
            <rFont val="Times New Roman"/>
            <family val="1"/>
          </rPr>
          <t>Sur cette colonne, indiques la qualité générale des aliments utilisés pour tes animaux, par tranche d'âge.</t>
        </r>
      </text>
    </comment>
    <comment ref="E214" authorId="1">
      <text>
        <r>
          <rPr>
            <b/>
            <u/>
            <sz val="10"/>
            <color indexed="14"/>
            <rFont val="Times New Roman"/>
            <family val="1"/>
          </rPr>
          <t>INFO :</t>
        </r>
        <r>
          <rPr>
            <sz val="10"/>
            <color indexed="10"/>
            <rFont val="Times New Roman"/>
            <family val="1"/>
          </rPr>
          <t xml:space="preserve">
Les bovins en pâture,se renseigneront directement ici (si la page concernée a été renseignée - lien plus bas-. Penser à effacer les info relatives aux pâturages (avec le lien "tes animaux doivent aller au pré?" à la fin de la période estivale pour ne pas fausser les résultats du fichier).</t>
        </r>
      </text>
    </comment>
    <comment ref="J214" authorId="1">
      <text>
        <r>
          <rPr>
            <sz val="10"/>
            <color indexed="81"/>
            <rFont val="Times New Roman"/>
            <family val="1"/>
          </rPr>
          <t xml:space="preserve">Choisis la ration utilisée pour nourrir les daims.
</t>
        </r>
        <r>
          <rPr>
            <b/>
            <u/>
            <sz val="10"/>
            <color indexed="14"/>
            <rFont val="Times New Roman"/>
            <family val="1"/>
          </rPr>
          <t>INFO :</t>
        </r>
        <r>
          <rPr>
            <sz val="10"/>
            <color indexed="10"/>
            <rFont val="Times New Roman"/>
            <family val="1"/>
          </rPr>
          <t xml:space="preserve">
C'est une liste de choix. </t>
        </r>
      </text>
    </comment>
    <comment ref="J217"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27" authorId="1">
      <text>
        <r>
          <rPr>
            <sz val="10"/>
            <color indexed="81"/>
            <rFont val="Times New Roman"/>
            <family val="1"/>
          </rPr>
          <t xml:space="preserve">Choisis si tu vaccines tes animaux.
</t>
        </r>
        <r>
          <rPr>
            <b/>
            <u/>
            <sz val="10"/>
            <color indexed="14"/>
            <rFont val="Times New Roman"/>
            <family val="1"/>
          </rPr>
          <t>INFO :</t>
        </r>
        <r>
          <rPr>
            <sz val="10"/>
            <color indexed="10"/>
            <rFont val="Times New Roman"/>
            <family val="1"/>
          </rPr>
          <t xml:space="preserve">
C'est une liste de choix.
Les vaccins ne sont pas obligatoire mais ils sont très conseillés pour éviter/limiter les maladies!
</t>
        </r>
        <r>
          <rPr>
            <b/>
            <sz val="10"/>
            <color indexed="10"/>
            <rFont val="Times New Roman"/>
            <family val="1"/>
          </rPr>
          <t>ATTENTION : le choix concerne TOUTES les bêtes de l'espèce!!</t>
        </r>
      </text>
    </comment>
    <comment ref="C234" authorId="1">
      <text>
        <r>
          <rPr>
            <sz val="10"/>
            <color indexed="81"/>
            <rFont val="Times New Roman"/>
            <family val="1"/>
          </rPr>
          <t>Sur cette colonne, remplis le nombre de chevaux de selle (toutes races) que tu as, suivant sexe et tranche d'âge.</t>
        </r>
      </text>
    </comment>
    <comment ref="D234" authorId="1">
      <text>
        <r>
          <rPr>
            <sz val="10"/>
            <color indexed="81"/>
            <rFont val="Times New Roman"/>
            <family val="1"/>
          </rPr>
          <t>Sur cette colonne, indiques la qualité générale des aliments utilisés pour tes animaux, par tranche d'âge.</t>
        </r>
      </text>
    </comment>
    <comment ref="E234" authorId="1">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J234" authorId="2">
      <text>
        <r>
          <rPr>
            <sz val="10"/>
            <color indexed="81"/>
            <rFont val="Times New Roman"/>
            <family val="1"/>
          </rPr>
          <t xml:space="preserve">Choisis ici si tes chevaux de selle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34" authorId="2">
      <text>
        <r>
          <rPr>
            <sz val="10"/>
            <color indexed="81"/>
            <rFont val="Times New Roman"/>
            <family val="1"/>
          </rPr>
          <t xml:space="preserve">Choisis ici si tes chevaux de selle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CHEVAUX DE SELLE vont au pré l'été.</t>
        </r>
      </text>
    </comment>
    <comment ref="J237"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37"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43"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48" authorId="1">
      <text>
        <r>
          <rPr>
            <sz val="10"/>
            <color indexed="81"/>
            <rFont val="Times New Roman"/>
            <family val="1"/>
          </rPr>
          <t>Sur cette colonne, remplis le nombre de chevaux de trait (toutes races) que tu as, suivant sexe et tranche d'âge.</t>
        </r>
      </text>
    </comment>
    <comment ref="D248" authorId="1">
      <text>
        <r>
          <rPr>
            <sz val="10"/>
            <color indexed="81"/>
            <rFont val="Times New Roman"/>
            <family val="1"/>
          </rPr>
          <t>Sur cette colonne, indiques la qualité générale des aliments utilisés pour tes animaux, par tranche d'âge.</t>
        </r>
      </text>
    </comment>
    <comment ref="E248" authorId="1">
      <text>
        <r>
          <rPr>
            <b/>
            <u/>
            <sz val="10"/>
            <color indexed="14"/>
            <rFont val="Times New Roman"/>
            <family val="1"/>
          </rPr>
          <t>INFO :</t>
        </r>
        <r>
          <rPr>
            <sz val="10"/>
            <color indexed="10"/>
            <rFont val="Times New Roman"/>
            <family val="1"/>
          </rPr>
          <t xml:space="preserve">
Les chevaux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J248" authorId="2">
      <text>
        <r>
          <rPr>
            <sz val="10"/>
            <color indexed="81"/>
            <rFont val="Times New Roman"/>
            <family val="1"/>
          </rPr>
          <t xml:space="preserve">Choisis ici si tes chevaux de trait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48" authorId="2">
      <text>
        <r>
          <rPr>
            <sz val="10"/>
            <color indexed="81"/>
            <rFont val="Times New Roman"/>
            <family val="1"/>
          </rPr>
          <t xml:space="preserve">Choisis ici si tes chevaux de trait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CHEVAUX DE TRAIT vont au pré l'été.</t>
        </r>
      </text>
    </comment>
    <comment ref="J251"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51"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57"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 ref="C262" authorId="1">
      <text>
        <r>
          <rPr>
            <sz val="10"/>
            <color indexed="81"/>
            <rFont val="Times New Roman"/>
            <family val="1"/>
          </rPr>
          <t>Sur cette colonne, remplis le nombre de poneys (toutes races) que tu as, suivant sexe et tranche d'âge.</t>
        </r>
      </text>
    </comment>
    <comment ref="D262" authorId="1">
      <text>
        <r>
          <rPr>
            <sz val="10"/>
            <color indexed="81"/>
            <rFont val="Times New Roman"/>
            <family val="1"/>
          </rPr>
          <t>Sur cette colonne, indiques la qualité générale des aliments utilisés pour tes animaux, par tranche d'âge.</t>
        </r>
      </text>
    </comment>
    <comment ref="E262" authorId="1">
      <text>
        <r>
          <rPr>
            <b/>
            <u/>
            <sz val="10"/>
            <color indexed="14"/>
            <rFont val="Times New Roman"/>
            <family val="1"/>
          </rPr>
          <t>INFO :</t>
        </r>
        <r>
          <rPr>
            <sz val="10"/>
            <color indexed="10"/>
            <rFont val="Times New Roman"/>
            <family val="1"/>
          </rPr>
          <t xml:space="preserve">
Les poneys en pâture,se renseigneront directement ici (si la page concernée a été renseignée - lien plus bas-. Penser à effacer les info relatives aux pâturages (avec le lien "tes animaux doivent aller au pré?" à la fin de la période estivale, sinon les résultats ici seront faux).</t>
        </r>
      </text>
    </comment>
    <comment ref="J262" authorId="2">
      <text>
        <r>
          <rPr>
            <sz val="10"/>
            <color indexed="81"/>
            <rFont val="Times New Roman"/>
            <family val="1"/>
          </rPr>
          <t xml:space="preserve">Choisis ici si tes poneys passent l'hiver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62" authorId="2">
      <text>
        <r>
          <rPr>
            <sz val="10"/>
            <color indexed="81"/>
            <rFont val="Times New Roman"/>
            <family val="1"/>
          </rPr>
          <t xml:space="preserve">Choisis ici si tes poneys (si tu en as) passent l'été dehors.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 Ca consid-ère que TOUT TES PONEYS vont au pré l'été.</t>
        </r>
      </text>
    </comment>
    <comment ref="J265"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M265" authorId="2">
      <text>
        <r>
          <rPr>
            <sz val="10"/>
            <color indexed="81"/>
            <rFont val="Times New Roman"/>
            <family val="1"/>
          </rPr>
          <t xml:space="preserve">Choisis ici si tu achètes de la ration toute prête ou pas.
</t>
        </r>
        <r>
          <rPr>
            <b/>
            <u/>
            <sz val="10"/>
            <color indexed="14"/>
            <rFont val="Times New Roman"/>
            <family val="1"/>
          </rPr>
          <t>INFO :</t>
        </r>
        <r>
          <rPr>
            <sz val="10"/>
            <color indexed="81"/>
            <rFont val="Times New Roman"/>
            <family val="1"/>
          </rPr>
          <t xml:space="preserve">
</t>
        </r>
        <r>
          <rPr>
            <sz val="10"/>
            <color indexed="10"/>
            <rFont val="Times New Roman"/>
            <family val="1"/>
          </rPr>
          <t>C'est une liste de choix.</t>
        </r>
      </text>
    </comment>
    <comment ref="J271" authorId="1">
      <text>
        <r>
          <rPr>
            <sz val="10"/>
            <color indexed="81"/>
            <rFont val="Times New Roman"/>
            <family val="1"/>
          </rPr>
          <t xml:space="preserve">Choisis si tu pailles et/ou vaccines tes animaux.
</t>
        </r>
        <r>
          <rPr>
            <b/>
            <u/>
            <sz val="10"/>
            <color indexed="14"/>
            <rFont val="Times New Roman"/>
            <family val="1"/>
          </rPr>
          <t>INFO :</t>
        </r>
        <r>
          <rPr>
            <sz val="10"/>
            <color indexed="10"/>
            <rFont val="Times New Roman"/>
            <family val="1"/>
          </rPr>
          <t xml:space="preserve">
C'est une liste de choix.
Les vaccins ne sont pas obligatoire (tout comme pailler, mais si tu ne pailles pas, tu ne produiras pas de fumier) mais ils sont très conseillés si tu ne pailles pas!
Pour connaître le coût de paillage (qui s'affichera ici), il te faut renseigner le lien plus bas "assez d'aliments dans tes silos?"
</t>
        </r>
        <r>
          <rPr>
            <b/>
            <sz val="10"/>
            <color indexed="10"/>
            <rFont val="Times New Roman"/>
            <family val="1"/>
          </rPr>
          <t>ATTENTION : le choix concerne TOUTES les bêtes de l'espèce!!</t>
        </r>
      </text>
    </comment>
  </commentList>
</comments>
</file>

<file path=xl/comments2.xml><?xml version="1.0" encoding="utf-8"?>
<comments xmlns="http://schemas.openxmlformats.org/spreadsheetml/2006/main">
  <authors>
    <author>appart</author>
    <author>DOMERCQ, Ghislain (ALTRAN)</author>
  </authors>
  <commentList>
    <comment ref="B5" authorId="0">
      <text>
        <r>
          <rPr>
            <sz val="10"/>
            <color indexed="81"/>
            <rFont val="Times New Roman"/>
            <family val="1"/>
          </rPr>
          <t xml:space="preserve">Ici, tu choisis le nombre de jours pour lesquels tu veux stocker tes aliments.
</t>
        </r>
        <r>
          <rPr>
            <b/>
            <u/>
            <sz val="10"/>
            <color indexed="14"/>
            <rFont val="Times New Roman"/>
            <family val="1"/>
          </rPr>
          <t>INFO :</t>
        </r>
        <r>
          <rPr>
            <sz val="10"/>
            <color indexed="10"/>
            <rFont val="Times New Roman"/>
            <family val="1"/>
          </rPr>
          <t xml:space="preserve">
C'est une liste de choix (qui va de 1jour à 1 an).
Le résultat n'est qu'approximatif : tes animaux grandissant ne mangeant pas la même quantité d'aliments, le résultat correspond aux bêtes sous abris que tu as renseigné dans les élevages qui te concernent!
Pour la paille, si tu choisis ici "1 an", il te faut dire si tu mets en pature ou pas (en bas de ce tableau) pour avoir la bonne valeur (basée sur une mise au pré sur toute la durée de la période estivale).</t>
        </r>
      </text>
    </comment>
    <comment ref="C7" authorId="1">
      <text>
        <r>
          <rPr>
            <sz val="9"/>
            <color indexed="81"/>
            <rFont val="Tahoma"/>
            <family val="2"/>
          </rPr>
          <t xml:space="preserve">Quels que soient tes réglages, la quantité d'eau calculée ici correspond à la quantité nécessaire sur 1 saison, que ce soit au pré (= pas de source) ou dans les batiments d'élevage.
</t>
        </r>
      </text>
    </comment>
    <comment ref="J8" authorId="0">
      <text>
        <r>
          <rPr>
            <sz val="10"/>
            <color indexed="81"/>
            <rFont val="Times New Roman"/>
            <family val="1"/>
          </rPr>
          <t xml:space="preserve">Sur cette colonne,  remplis le prix de vente des aliments.
</t>
        </r>
        <r>
          <rPr>
            <b/>
            <u/>
            <sz val="10"/>
            <color indexed="14"/>
            <rFont val="Times New Roman"/>
            <family val="1"/>
          </rPr>
          <t xml:space="preserve">INFO : </t>
        </r>
        <r>
          <rPr>
            <sz val="10"/>
            <color indexed="10"/>
            <rFont val="Times New Roman"/>
            <family val="1"/>
          </rPr>
          <t xml:space="preserve">
Les cases blanches (déjà remplies) sont des prix fixes.</t>
        </r>
      </text>
    </comment>
    <comment ref="M26" authorId="0">
      <text>
        <r>
          <rPr>
            <b/>
            <u/>
            <sz val="10"/>
            <color indexed="14"/>
            <rFont val="Times New Roman"/>
            <family val="1"/>
          </rPr>
          <t>RAPPEL :</t>
        </r>
        <r>
          <rPr>
            <sz val="10"/>
            <color indexed="10"/>
            <rFont val="Times New Roman"/>
            <family val="1"/>
          </rPr>
          <t xml:space="preserve"> 
Le vaccin n'es pas obligatoire. Il ne produit pas de fumier, mais protège aussi bien les bêtes des maladies que le paillage (à condition de ne pas oublier les rappels des vaccins, 1 fois par an SIMAGRI)</t>
        </r>
      </text>
    </comment>
    <comment ref="I53" authorId="0">
      <text>
        <r>
          <rPr>
            <b/>
            <u/>
            <sz val="10"/>
            <color indexed="14"/>
            <rFont val="Times New Roman"/>
            <family val="1"/>
          </rPr>
          <t>INFO :</t>
        </r>
        <r>
          <rPr>
            <sz val="10"/>
            <color indexed="10"/>
            <rFont val="Times New Roman"/>
            <family val="1"/>
          </rPr>
          <t xml:space="preserve"> 
sur cette case, tu vois combien tu dois dépenser pour régler ta commande.
Bien entendu, à la coop, ne pouvant acheter exactement la quantité marquée ici, ce montant est MINIMUM!!
ATTENTION : ce montant correspond aux animaux que tu as renseigné dans ce fichier. Il ne tient pas compte du fait que tu auras certainement des animaux qui grandiront!!!</t>
        </r>
      </text>
    </comment>
  </commentList>
</comments>
</file>

<file path=xl/sharedStrings.xml><?xml version="1.0" encoding="utf-8"?>
<sst xmlns="http://schemas.openxmlformats.org/spreadsheetml/2006/main" count="2349" uniqueCount="892">
  <si>
    <t>pieds de pruniers</t>
  </si>
  <si>
    <t>pieds de mirabelliers</t>
  </si>
  <si>
    <t>engrais pruniers</t>
  </si>
  <si>
    <t>engrais mirabelliers</t>
  </si>
  <si>
    <t>jeune jars 3-6 mois</t>
  </si>
  <si>
    <t>jeune oie 3-6 mois</t>
  </si>
  <si>
    <t>CANARDS</t>
  </si>
  <si>
    <t>poneys</t>
  </si>
  <si>
    <t>OUI</t>
  </si>
  <si>
    <t>NON</t>
  </si>
  <si>
    <t>nombre dans pré</t>
  </si>
  <si>
    <t>nombre total</t>
  </si>
  <si>
    <t>porcelet mâle 1-3 mois</t>
  </si>
  <si>
    <t>traitement poiriers</t>
  </si>
  <si>
    <t>engrais poiriers</t>
  </si>
  <si>
    <t>poussin femelle 0-1 mois</t>
  </si>
  <si>
    <t>jeune coq 1-6 mois</t>
  </si>
  <si>
    <t>jeune poule 1-6 mois</t>
  </si>
  <si>
    <t>coq</t>
  </si>
  <si>
    <t>poule</t>
  </si>
  <si>
    <t>OVINS</t>
  </si>
  <si>
    <t>agneau 0-3 mois</t>
  </si>
  <si>
    <t>agnelle 0-3 mois</t>
  </si>
  <si>
    <t>agneau 3-6 mois</t>
  </si>
  <si>
    <t>agnelle 3-6 mois</t>
  </si>
  <si>
    <t>jeune bélier 6-12 mois</t>
  </si>
  <si>
    <t>place restante sous entrepôt(s) :</t>
  </si>
  <si>
    <t>pour gérer ton/tes entrepôt(s)</t>
  </si>
  <si>
    <t>lait</t>
  </si>
  <si>
    <t>laine</t>
  </si>
  <si>
    <t>Tabac</t>
  </si>
  <si>
    <t>semences de coton</t>
  </si>
  <si>
    <t>semences de tabac</t>
  </si>
  <si>
    <t>Wallonie</t>
  </si>
  <si>
    <t>Flandre</t>
  </si>
  <si>
    <t>Terre-Neuve et Labrador</t>
  </si>
  <si>
    <t>traitement pommiers</t>
  </si>
  <si>
    <t>CAPRINS</t>
  </si>
  <si>
    <t>chevreau 0-3 mois</t>
  </si>
  <si>
    <t>chevrette 0-3 mois</t>
  </si>
  <si>
    <t>chevreau 3-6 mois</t>
  </si>
  <si>
    <t>chevrette 3-6 mois</t>
  </si>
  <si>
    <t>Soja</t>
  </si>
  <si>
    <t>Lin</t>
  </si>
  <si>
    <t>Pomme de terre</t>
  </si>
  <si>
    <t>Bison d'Amérique</t>
  </si>
  <si>
    <t>pieds de poiriers</t>
  </si>
  <si>
    <t>Triticale</t>
  </si>
  <si>
    <t>PDT pour plantation</t>
  </si>
  <si>
    <t>porcelet femelle 0-1 mois</t>
  </si>
  <si>
    <t>porcelet femelle 1-3 mois</t>
  </si>
  <si>
    <t>jeune verrat 3-6 mois</t>
  </si>
  <si>
    <t>jeune truie 3-6 mois</t>
  </si>
  <si>
    <t>jeune verrat 6-12 mois</t>
  </si>
  <si>
    <t>jeune truie 6-12 mois</t>
  </si>
  <si>
    <t>verrat</t>
  </si>
  <si>
    <t>truie</t>
  </si>
  <si>
    <t>LAPINS</t>
  </si>
  <si>
    <t>lapereau mâle 0-1 mois</t>
  </si>
  <si>
    <t>lapereau femelle 0-1 mois</t>
  </si>
  <si>
    <t>jeune lapin 1-3 mois</t>
  </si>
  <si>
    <t>jeune lapine 1-3 mois</t>
  </si>
  <si>
    <t>lapin</t>
  </si>
  <si>
    <t>Aubrac</t>
  </si>
  <si>
    <t xml:space="preserve">Mode d'élevage : </t>
  </si>
  <si>
    <t>bovins</t>
  </si>
  <si>
    <t>caprins</t>
  </si>
  <si>
    <t>ovins</t>
  </si>
  <si>
    <t>lapins</t>
  </si>
  <si>
    <t>Armoricaine</t>
  </si>
  <si>
    <t>Rove</t>
  </si>
  <si>
    <t>Brune des Alpes</t>
  </si>
  <si>
    <t>Saanen</t>
  </si>
  <si>
    <t>Vosgienne</t>
  </si>
  <si>
    <t>Blond d'Aquitaine</t>
  </si>
  <si>
    <t>Limousin</t>
  </si>
  <si>
    <t>Charolaise</t>
  </si>
  <si>
    <t>Limousine</t>
  </si>
  <si>
    <t>Blanc Bleu Belge</t>
  </si>
  <si>
    <t>Parthenaise</t>
  </si>
  <si>
    <t>semences de dactyle</t>
  </si>
  <si>
    <t>semences de fétuque élevée</t>
  </si>
  <si>
    <t>semences de fléole</t>
  </si>
  <si>
    <t>semences de brome</t>
  </si>
  <si>
    <t>semences de ray-grass Italie</t>
  </si>
  <si>
    <t>semences de ray-grass anglais</t>
  </si>
  <si>
    <t>oison mâle 0-3 mois</t>
  </si>
  <si>
    <t>oison femelle 0-3 mois</t>
  </si>
  <si>
    <t>Est-ce que tu vaccines?</t>
  </si>
  <si>
    <t>Est-ce que tu pailles?</t>
  </si>
  <si>
    <t>litière</t>
  </si>
  <si>
    <t>Simmental</t>
  </si>
  <si>
    <t>Cliques → ICI ←</t>
  </si>
  <si>
    <t>semence de moutarde</t>
  </si>
  <si>
    <t>semenses de seigle (P)</t>
  </si>
  <si>
    <t>semenses de seigle (G)</t>
  </si>
  <si>
    <t>semenses de seigle (GP)</t>
  </si>
  <si>
    <t>semences de colza</t>
  </si>
  <si>
    <t>traitement</t>
  </si>
  <si>
    <t>Midi-Pyrénées</t>
  </si>
  <si>
    <t>Nord</t>
  </si>
  <si>
    <t>Pays de Loire</t>
  </si>
  <si>
    <t>Picardie</t>
  </si>
  <si>
    <t>Poitou-Charentes</t>
  </si>
  <si>
    <t>Rhône-Alpes</t>
  </si>
  <si>
    <t>luzerne</t>
  </si>
  <si>
    <t>Luzerne</t>
  </si>
  <si>
    <t>Miscanthus</t>
  </si>
  <si>
    <t>élevage</t>
  </si>
  <si>
    <t>caprins (chèvres)</t>
  </si>
  <si>
    <t>bobine 20000m</t>
  </si>
  <si>
    <t>bobine 10000m</t>
  </si>
  <si>
    <t>bobine 5000m</t>
  </si>
  <si>
    <t>bobine 4000m</t>
  </si>
  <si>
    <t>palox 320x20</t>
  </si>
  <si>
    <t>palox 320x10</t>
  </si>
  <si>
    <t>palox 320</t>
  </si>
  <si>
    <t>filet anti-grêle 2ha</t>
  </si>
  <si>
    <t>filet anti-grêle 1ha</t>
  </si>
  <si>
    <t>bac rectangle de 5000 litres</t>
  </si>
  <si>
    <t>jeune bouc 6-12 mois</t>
  </si>
  <si>
    <t>cultures</t>
  </si>
  <si>
    <t>bovins (vaches)</t>
  </si>
  <si>
    <t>porcins (cochons)</t>
  </si>
  <si>
    <t>Foin</t>
  </si>
  <si>
    <t>Suisse Italienne</t>
  </si>
  <si>
    <t>semences de soja</t>
  </si>
  <si>
    <t>semences de lin</t>
  </si>
  <si>
    <t>semences de betterave</t>
  </si>
  <si>
    <t>semences de tournesol</t>
  </si>
  <si>
    <t>semences de maïs</t>
  </si>
  <si>
    <t>semences de blé (G)</t>
  </si>
  <si>
    <t>semences de blé (GP)</t>
  </si>
  <si>
    <t>semences de blé (P)</t>
  </si>
  <si>
    <t>défanage chimique</t>
  </si>
  <si>
    <t>jeune brebis 6-12 mois</t>
  </si>
  <si>
    <t>bélier</t>
  </si>
  <si>
    <t>brebis</t>
  </si>
  <si>
    <t>bac rectangle de 10000 litres</t>
  </si>
  <si>
    <t>jeune chèvre 6-12 mois</t>
  </si>
  <si>
    <t>bouc</t>
  </si>
  <si>
    <t>chèvre</t>
  </si>
  <si>
    <t>PORCINS</t>
  </si>
  <si>
    <t>N.C.</t>
  </si>
  <si>
    <t>l</t>
  </si>
  <si>
    <t>14 places</t>
  </si>
  <si>
    <t>12 places</t>
  </si>
  <si>
    <t>10 places</t>
  </si>
  <si>
    <t>8 places</t>
  </si>
  <si>
    <t>chevraux de selle :</t>
  </si>
  <si>
    <t>chevaux de trait :</t>
  </si>
  <si>
    <t>poneys :</t>
  </si>
  <si>
    <t>jeune bisonne 18-24 mois</t>
  </si>
  <si>
    <t>jeune bison 24-36 mois</t>
  </si>
  <si>
    <t>bison</t>
  </si>
  <si>
    <t>bisonne</t>
  </si>
  <si>
    <t>jeune pintade femelle 1-9 mois</t>
  </si>
  <si>
    <t>pintade femelle</t>
  </si>
  <si>
    <t>pintadeau femelle 0-1 mois</t>
  </si>
  <si>
    <t>bisonneau femelle 0-3 mois</t>
  </si>
  <si>
    <t>Blé</t>
  </si>
  <si>
    <t>pieds de pommiers</t>
  </si>
  <si>
    <t>pieds de pêchers</t>
  </si>
  <si>
    <t>engrais</t>
  </si>
  <si>
    <t>engrais pêchers</t>
  </si>
  <si>
    <t>engrais pommiers</t>
  </si>
  <si>
    <t>engrais pré</t>
  </si>
  <si>
    <t>traitement pêchers</t>
  </si>
  <si>
    <t>Tournesol</t>
  </si>
  <si>
    <t>Pois</t>
  </si>
  <si>
    <t>Féverole</t>
  </si>
  <si>
    <t>Chanvre industriel</t>
  </si>
  <si>
    <t>semences d'orge (P)</t>
  </si>
  <si>
    <t>traitement pruniers</t>
  </si>
  <si>
    <t>traitement mirabelliers</t>
  </si>
  <si>
    <t>semences de chanvre (G)</t>
  </si>
  <si>
    <t>semences de chanvre (P)</t>
  </si>
  <si>
    <t>caneton mâle 0-3 mois</t>
  </si>
  <si>
    <t>caneton femelle 0-3 mois</t>
  </si>
  <si>
    <t>jeune canard 3-6 mois</t>
  </si>
  <si>
    <t>jeune cane 3-6 mois</t>
  </si>
  <si>
    <t>cane</t>
  </si>
  <si>
    <t>canard</t>
  </si>
  <si>
    <t>piquets de 2.50m (lot de 100)</t>
  </si>
  <si>
    <t xml:space="preserve">bac rectangle de 1000 litres </t>
  </si>
  <si>
    <t>bac rond de 500 litres</t>
  </si>
  <si>
    <t>Epinard</t>
  </si>
  <si>
    <t>Haricot vert</t>
  </si>
  <si>
    <t>Lentille</t>
  </si>
  <si>
    <t>Maïs grain</t>
  </si>
  <si>
    <t>Maïs ensilé</t>
  </si>
  <si>
    <t>balles de paille 300kg</t>
  </si>
  <si>
    <t>balles de paille 500kg</t>
  </si>
  <si>
    <t>balles de foin 250kg</t>
  </si>
  <si>
    <t>balles de foin 300kg</t>
  </si>
  <si>
    <t>balles de foin 300kg enrubanné</t>
  </si>
  <si>
    <t>balles de foin 500kg</t>
  </si>
  <si>
    <t>balles de paille 250kg</t>
  </si>
  <si>
    <t>prix unitaire</t>
  </si>
  <si>
    <t>montant de la commande</t>
  </si>
  <si>
    <t>montant total :</t>
  </si>
  <si>
    <t>m²</t>
  </si>
  <si>
    <t>Prim'holstein</t>
  </si>
  <si>
    <t>Alpine</t>
  </si>
  <si>
    <t>Montbéliarde</t>
  </si>
  <si>
    <t>Angora</t>
  </si>
  <si>
    <t>Corse</t>
  </si>
  <si>
    <t>Salers</t>
  </si>
  <si>
    <t>Poitevine</t>
  </si>
  <si>
    <t>semences de féverole (GP)</t>
  </si>
  <si>
    <t>semences de féverole (P)</t>
  </si>
  <si>
    <t>semences d'avoine (G)</t>
  </si>
  <si>
    <t>semences d'avoine (GP)</t>
  </si>
  <si>
    <t>semences d'avoine (P)</t>
  </si>
  <si>
    <t>semences de pois (G)</t>
  </si>
  <si>
    <t>semences de pois (GP)</t>
  </si>
  <si>
    <t>semences de pois (P)</t>
  </si>
  <si>
    <t>semences de triticale (G)</t>
  </si>
  <si>
    <t>semences de triticale (GP)</t>
  </si>
  <si>
    <t>semences de triticale (P)</t>
  </si>
  <si>
    <t>semences de haricot vert</t>
  </si>
  <si>
    <t>semences de lentilles</t>
  </si>
  <si>
    <t>semences d'épinards</t>
  </si>
  <si>
    <t>Type d'élevage :</t>
  </si>
  <si>
    <t>porcelet mâle 0-1 mois</t>
  </si>
  <si>
    <t>volailles (poules, canards)</t>
  </si>
  <si>
    <t>volailles (pintades, oies)</t>
  </si>
  <si>
    <t>semences d'orge (G)</t>
  </si>
  <si>
    <t>semences d'orge (GP)</t>
  </si>
  <si>
    <t>Québec</t>
  </si>
  <si>
    <t>Ontario</t>
  </si>
  <si>
    <t>Manitoba</t>
  </si>
  <si>
    <t>Alberta</t>
  </si>
  <si>
    <t>Suisse Romande</t>
  </si>
  <si>
    <t>Pays :</t>
  </si>
  <si>
    <t>Alaska</t>
  </si>
  <si>
    <t>bisonneau mâle 0-3 mois</t>
  </si>
  <si>
    <t>bisonneau mâle 3-6 mois</t>
  </si>
  <si>
    <t>bisonneau mâle 6-12 mois</t>
  </si>
  <si>
    <t>jeune bisonne 24-36 mois</t>
  </si>
  <si>
    <t>pintadeau mâle 0-1 mois</t>
  </si>
  <si>
    <t>jeune pintade mâle 1-9 mois</t>
  </si>
  <si>
    <t>pintade mâle</t>
  </si>
  <si>
    <t>Etats-Unis</t>
  </si>
  <si>
    <t>1 an</t>
  </si>
  <si>
    <t>BISONS</t>
  </si>
  <si>
    <t>PINTADES</t>
  </si>
  <si>
    <t>caillebotis</t>
  </si>
  <si>
    <t>jeune bison 12-18 mois</t>
  </si>
  <si>
    <t>jeune bisonne 12-18 mois</t>
  </si>
  <si>
    <t>jeune bison 18-24 mois</t>
  </si>
  <si>
    <t>Belgique</t>
  </si>
  <si>
    <t>Canada</t>
  </si>
  <si>
    <t>Suisse</t>
  </si>
  <si>
    <t>BOVINS</t>
  </si>
  <si>
    <t xml:space="preserve">Choix de la ration : </t>
  </si>
  <si>
    <t xml:space="preserve">Spécificité : </t>
  </si>
  <si>
    <t>nombre</t>
  </si>
  <si>
    <t>veau mâle 0-3 mois</t>
  </si>
  <si>
    <t>veau femelle 0-3 mois</t>
  </si>
  <si>
    <t>veau mâle 3-6 mois</t>
  </si>
  <si>
    <t>veau femelle 3-6 mois</t>
  </si>
  <si>
    <t>veau mâle 6-12 mois</t>
  </si>
  <si>
    <t>veau femelle 6-12 mois</t>
  </si>
  <si>
    <t>taurillon 12-18 mois</t>
  </si>
  <si>
    <t>génisse 12-18 mois</t>
  </si>
  <si>
    <t>taurillon 18-24 mois</t>
  </si>
  <si>
    <t>génisse 18-24 mois</t>
  </si>
  <si>
    <t>taurillon 24-36 mois</t>
  </si>
  <si>
    <t>génisse 24-36 mois</t>
  </si>
  <si>
    <t>taureau</t>
  </si>
  <si>
    <t>vache</t>
  </si>
  <si>
    <t>ALIMENTS A COMMANDER</t>
  </si>
  <si>
    <t>bovins :</t>
  </si>
  <si>
    <t>bisons :</t>
  </si>
  <si>
    <t>porcins :</t>
  </si>
  <si>
    <t>caprins :</t>
  </si>
  <si>
    <t>volaille (poules) :</t>
  </si>
  <si>
    <t>pintades :</t>
  </si>
  <si>
    <t>lapins :</t>
  </si>
  <si>
    <t>ovins :</t>
  </si>
  <si>
    <t>oies :</t>
  </si>
  <si>
    <t>canards :</t>
  </si>
  <si>
    <t>Orge de printemps</t>
  </si>
  <si>
    <t>Avoine de printemps</t>
  </si>
  <si>
    <t>Seigle</t>
  </si>
  <si>
    <t>Coton</t>
  </si>
  <si>
    <t>fongicide</t>
  </si>
  <si>
    <t>herbicide</t>
  </si>
  <si>
    <t>insecticide</t>
  </si>
  <si>
    <t>par tonne</t>
  </si>
  <si>
    <t>semences de féverole (G)</t>
  </si>
  <si>
    <t>piquets de 2.50m (lot de 400)</t>
  </si>
  <si>
    <t>piquets de 2.50m (lot de 300)</t>
  </si>
  <si>
    <t>piquets de 2.50m (lot de 200)</t>
  </si>
  <si>
    <t>Lorraine</t>
  </si>
  <si>
    <t>semences de phacélie</t>
  </si>
  <si>
    <t>Betterave</t>
  </si>
  <si>
    <t>France</t>
  </si>
  <si>
    <t>Alsace</t>
  </si>
  <si>
    <t>Aquitaine</t>
  </si>
  <si>
    <t>Auvergne</t>
  </si>
  <si>
    <t>Basse-Normandie</t>
  </si>
  <si>
    <t>Bourgogne</t>
  </si>
  <si>
    <t>Bretagne</t>
  </si>
  <si>
    <t>Centre</t>
  </si>
  <si>
    <t>Champagnes-Ardennes</t>
  </si>
  <si>
    <t>Franche-Comté</t>
  </si>
  <si>
    <t>Haute-Normandie</t>
  </si>
  <si>
    <t>Ile-de-France</t>
  </si>
  <si>
    <t>Languedoc-Roussillon</t>
  </si>
  <si>
    <t>OIES</t>
  </si>
  <si>
    <t>jars</t>
  </si>
  <si>
    <t>oie</t>
  </si>
  <si>
    <t>Normande</t>
  </si>
  <si>
    <t>RETOUR EN HAUT</t>
  </si>
  <si>
    <t>paille</t>
  </si>
  <si>
    <t>bisonneau femelle 3-6 mois</t>
  </si>
  <si>
    <t>bisonneau femelle 6-12 mois</t>
  </si>
  <si>
    <t>poussin mâle 0-1 mois</t>
  </si>
  <si>
    <t>bisons</t>
  </si>
  <si>
    <t>COUT POUR LE PAILLAGE (BILAN) :</t>
  </si>
  <si>
    <t>bobine 3000m</t>
  </si>
  <si>
    <t>bobine 2000m</t>
  </si>
  <si>
    <t>bobine 1000m</t>
  </si>
  <si>
    <t>piquets de 2.50m (lot de 2000)</t>
  </si>
  <si>
    <t>pquets de 2.50m (lot de 1000)</t>
  </si>
  <si>
    <t>piquets de 2.50m (lot de 500)</t>
  </si>
  <si>
    <t>semences de luzerne</t>
  </si>
  <si>
    <t>semences de miscanthus</t>
  </si>
  <si>
    <t>Azote</t>
  </si>
  <si>
    <t>Phosphore</t>
  </si>
  <si>
    <t>Potassium</t>
  </si>
  <si>
    <t>Calcium</t>
  </si>
  <si>
    <t>Magnésium</t>
  </si>
  <si>
    <t>Soufre</t>
  </si>
  <si>
    <t>pieds d'érable</t>
  </si>
  <si>
    <t>pieds d'épicéa</t>
  </si>
  <si>
    <t>pieds de bouleau</t>
  </si>
  <si>
    <t>pieds de charme</t>
  </si>
  <si>
    <t>pieds de chêne</t>
  </si>
  <si>
    <t>pieds de châtaigners</t>
  </si>
  <si>
    <t>pieds de cyprès</t>
  </si>
  <si>
    <t>pieds de douglas</t>
  </si>
  <si>
    <t>pieds de frêne</t>
  </si>
  <si>
    <t>pieds de hêtre</t>
  </si>
  <si>
    <t>pieds de mélèze</t>
  </si>
  <si>
    <t>pieds de peuplier</t>
  </si>
  <si>
    <t>pieds de pin</t>
  </si>
  <si>
    <t>pieds de sapin</t>
  </si>
  <si>
    <t>protections contre cerfs</t>
  </si>
  <si>
    <t>protections contre chevreuils</t>
  </si>
  <si>
    <t>protections contre lapins</t>
  </si>
  <si>
    <t>kg</t>
  </si>
  <si>
    <t>DAIMS</t>
  </si>
  <si>
    <t>faon mâle 0-3 mois</t>
  </si>
  <si>
    <t>faon femelle 0-3 mois</t>
  </si>
  <si>
    <t>faon mâle 3-6 mois</t>
  </si>
  <si>
    <t>faon femelle 3-6 mois</t>
  </si>
  <si>
    <t>faon mâle 6-12 mois</t>
  </si>
  <si>
    <t>faon femelle 6-12 mois</t>
  </si>
  <si>
    <t>jeune daim 12-18 mois</t>
  </si>
  <si>
    <t>jeune daine 12-18 mois</t>
  </si>
  <si>
    <t>jeune daim 18-24 mois</t>
  </si>
  <si>
    <t>jeune daine 18-24 mois</t>
  </si>
  <si>
    <t>jeune daim 24-36 mois</t>
  </si>
  <si>
    <t>jeune daine 24-36 mois</t>
  </si>
  <si>
    <t>daim</t>
  </si>
  <si>
    <t>daine</t>
  </si>
  <si>
    <t>daims</t>
  </si>
  <si>
    <t>bisons/daims</t>
  </si>
  <si>
    <t>daims :</t>
  </si>
  <si>
    <t>CHEVAUX DE SELLE</t>
  </si>
  <si>
    <t>poulain 0-12 mois</t>
  </si>
  <si>
    <t>pouliche 0-12 mois</t>
  </si>
  <si>
    <t>jeune étalon 12-24 mois</t>
  </si>
  <si>
    <t>jeune étalon 24-36 mois</t>
  </si>
  <si>
    <t>jeune jument 24-36 mois</t>
  </si>
  <si>
    <t>jeune jument 12-24 mois</t>
  </si>
  <si>
    <t>étalon</t>
  </si>
  <si>
    <t>jument</t>
  </si>
  <si>
    <t>poids adulte</t>
  </si>
  <si>
    <t>Sorgho ensilé</t>
  </si>
  <si>
    <t>Orge</t>
  </si>
  <si>
    <t>Avoine</t>
  </si>
  <si>
    <t>poids naissance</t>
  </si>
  <si>
    <t>Brown Swiss</t>
  </si>
  <si>
    <t>Jersiaise</t>
  </si>
  <si>
    <t>Red Holstein</t>
  </si>
  <si>
    <t>Rouge des prés</t>
  </si>
  <si>
    <t>Hangar</t>
  </si>
  <si>
    <t>Local phytosanitaire</t>
  </si>
  <si>
    <t>Entrepôt arboricole</t>
  </si>
  <si>
    <t>Chambre froide</t>
  </si>
  <si>
    <t>Salle de stockage</t>
  </si>
  <si>
    <t>Hall d'exposition</t>
  </si>
  <si>
    <t>Entrepôt</t>
  </si>
  <si>
    <t>Silo</t>
  </si>
  <si>
    <t>Silo taupe</t>
  </si>
  <si>
    <t>Fosse à fumier et écume</t>
  </si>
  <si>
    <t>Fosse à lisier</t>
  </si>
  <si>
    <t>Aire de stockage paille/foin</t>
  </si>
  <si>
    <t>Serre pépinière</t>
  </si>
  <si>
    <t>Unité tabac</t>
  </si>
  <si>
    <t>Silo de chargement</t>
  </si>
  <si>
    <t>Aire de chargement</t>
  </si>
  <si>
    <t>Porcherie</t>
  </si>
  <si>
    <t>Chèvrerie</t>
  </si>
  <si>
    <t>Bergerie</t>
  </si>
  <si>
    <t>Clapier</t>
  </si>
  <si>
    <t>Entrepôt à pommes de terre</t>
  </si>
  <si>
    <t>Consommation de base</t>
  </si>
  <si>
    <t>Construction Niveau 1</t>
  </si>
  <si>
    <t>Unité</t>
  </si>
  <si>
    <t>Coût/unité</t>
  </si>
  <si>
    <t>kWh/unité/jour</t>
  </si>
  <si>
    <t>T</t>
  </si>
  <si>
    <t>prix kWh (€)</t>
  </si>
  <si>
    <t>épandre fumier (t/ha)</t>
  </si>
  <si>
    <t>épandre lisier (m3. x1000 pour des litres)</t>
  </si>
  <si>
    <t>Fongicide :</t>
  </si>
  <si>
    <t>Herbicide :</t>
  </si>
  <si>
    <t>Insecticide :</t>
  </si>
  <si>
    <t>Prix (€/l)</t>
  </si>
  <si>
    <t>Dosage (l/ha)</t>
  </si>
  <si>
    <t>Colza</t>
  </si>
  <si>
    <t>Canola</t>
  </si>
  <si>
    <t>Quantité herbe par jour au pré :</t>
  </si>
  <si>
    <t>Taureau (m2)</t>
  </si>
  <si>
    <t>Vache (m2)</t>
  </si>
  <si>
    <t>Taurillon (m2)</t>
  </si>
  <si>
    <t>Génisse (m2)</t>
  </si>
  <si>
    <t>Veau (m2)</t>
  </si>
  <si>
    <t>Quantité ration dans stabulation (en kg et par jour):</t>
  </si>
  <si>
    <t>Ration complète</t>
  </si>
  <si>
    <t>Foin + maïs ensilé</t>
  </si>
  <si>
    <t>Paille</t>
  </si>
  <si>
    <t>Paille + maïs ensilé</t>
  </si>
  <si>
    <t>Paille + betterave</t>
  </si>
  <si>
    <t>Ensilage d'herbe</t>
  </si>
  <si>
    <t>Foin + maïs ensilé + ensilage d'herbe</t>
  </si>
  <si>
    <t>Bouchons luzerne</t>
  </si>
  <si>
    <t>Foin + maïs ensilé + sorgho ensilé</t>
  </si>
  <si>
    <t>Paille + maïs ensilé + sorgho ensilé</t>
  </si>
  <si>
    <t>Eau</t>
  </si>
  <si>
    <t>Quantité de paille pour la litière (en kg et par jour) :</t>
  </si>
  <si>
    <t>Taureau</t>
  </si>
  <si>
    <t>Vache</t>
  </si>
  <si>
    <t>Taurillon</t>
  </si>
  <si>
    <t>Génisse</t>
  </si>
  <si>
    <t>Veau</t>
  </si>
  <si>
    <t>Surface nécessaire en stabulation par animal (en m2) :</t>
  </si>
  <si>
    <t>Production de lisier par jour et par animal (en litres) :</t>
  </si>
  <si>
    <t>Ration complète?</t>
  </si>
  <si>
    <t>races laitières</t>
  </si>
  <si>
    <t>races allaitantes</t>
  </si>
  <si>
    <t>RETOUR AU SOMMAIRE</t>
  </si>
  <si>
    <t>Race</t>
  </si>
  <si>
    <t>Bison d'Europe</t>
  </si>
  <si>
    <t>10-12 ans</t>
  </si>
  <si>
    <t>20-22 ans</t>
  </si>
  <si>
    <t>période estivale :</t>
  </si>
  <si>
    <t>début avril-fin octobre</t>
  </si>
  <si>
    <t>début avril-fin septembre</t>
  </si>
  <si>
    <t>7-8 ans</t>
  </si>
  <si>
    <t>Races</t>
  </si>
  <si>
    <t>Spanish</t>
  </si>
  <si>
    <t>Nera Verzasca</t>
  </si>
  <si>
    <t>Bouc (m2)</t>
  </si>
  <si>
    <t>Chèvre (m2)</t>
  </si>
  <si>
    <t>Jeune bouc (m2)</t>
  </si>
  <si>
    <t>Jeune chèvre (m2)</t>
  </si>
  <si>
    <t>Chevreau / Chevrette (m2)</t>
  </si>
  <si>
    <t>Maïs ensilé + foin</t>
  </si>
  <si>
    <t>Betterave + foin</t>
  </si>
  <si>
    <t>ensilage d'herbe</t>
  </si>
  <si>
    <t>Sorgho ensilé + foin</t>
  </si>
  <si>
    <t>Foin + sorgho ensilé + ensilage d'herbe</t>
  </si>
  <si>
    <t>Surface nécessaire par animal (en m2) :</t>
  </si>
  <si>
    <t>Bouc</t>
  </si>
  <si>
    <t>Chèvre</t>
  </si>
  <si>
    <t>Jeune bouc</t>
  </si>
  <si>
    <t>Jeune chèvre</t>
  </si>
  <si>
    <t>Chevreau / chevrette</t>
  </si>
  <si>
    <t>Gains potentiels en fonction de la qualité du réseau GPS</t>
  </si>
  <si>
    <t>Tracteur</t>
  </si>
  <si>
    <t>Pulvérisateur automoteur</t>
  </si>
  <si>
    <t>semence</t>
  </si>
  <si>
    <t>Défaner (chimiquement)</t>
  </si>
  <si>
    <t>Épandage (compost)</t>
  </si>
  <si>
    <t>Épandage (fumier)</t>
  </si>
  <si>
    <t>Épandage (lisier)</t>
  </si>
  <si>
    <t>Fertiliser avec compost</t>
  </si>
  <si>
    <t>Fertiliser avec engrais</t>
  </si>
  <si>
    <t>Fertiliser avec fumier</t>
  </si>
  <si>
    <t>Fertiliser avec lisier</t>
  </si>
  <si>
    <t>Mettre de l'engrais</t>
  </si>
  <si>
    <t>Planter tabac</t>
  </si>
  <si>
    <t>Planter</t>
  </si>
  <si>
    <t>Semer céréales</t>
  </si>
  <si>
    <t>Semoir M/B</t>
  </si>
  <si>
    <t>Traiter</t>
  </si>
  <si>
    <t>Ci-dessous les exportations d'éléments nutritifs en cas de pressage de la paille (exprimées en kilos/tonne de paille pressée) :</t>
  </si>
  <si>
    <t>Cultures</t>
  </si>
  <si>
    <t>Rendement paille</t>
  </si>
  <si>
    <t>(en tonnes/hect)</t>
  </si>
  <si>
    <t>Azote (N)</t>
  </si>
  <si>
    <t>Phosphore (p)</t>
  </si>
  <si>
    <t>Potassium (K)</t>
  </si>
  <si>
    <t>Calcium (Ca)</t>
  </si>
  <si>
    <t>Magnésium (Mg)</t>
  </si>
  <si>
    <t>Soufre (S)</t>
  </si>
  <si>
    <t>6 à 8</t>
  </si>
  <si>
    <t>11 à 13</t>
  </si>
  <si>
    <t>1 à 3</t>
  </si>
  <si>
    <t>8 à 12</t>
  </si>
  <si>
    <t>8 à 10</t>
  </si>
  <si>
    <t>Le fumier vous apporte des éléments nutritifs lorsqu'il est épandu dans une parcelle (exprimé en kg/hectare épandu) :</t>
  </si>
  <si>
    <t>Types d'épandages</t>
  </si>
  <si>
    <t>Fumier (25 T/hect)</t>
  </si>
  <si>
    <t>137.5</t>
  </si>
  <si>
    <t>Le lisier vous apporte des éléments nutritifs lorsqu'il est épandu dans une parcelle (exprimé en kg/hectare épandu) :</t>
  </si>
  <si>
    <t>Lisier (15 m3/hect)</t>
  </si>
  <si>
    <t>Qualité Lait (QL) de votre exploitation :</t>
  </si>
  <si>
    <t>Elevage conventionnel :</t>
  </si>
  <si>
    <t>Indice Qualité Lait (QL)</t>
  </si>
  <si>
    <t>Prix pour 1000 litres (en euro)</t>
  </si>
  <si>
    <t>0-9,99</t>
  </si>
  <si>
    <t>10-19,99</t>
  </si>
  <si>
    <t>20-29,99</t>
  </si>
  <si>
    <t>30-39,99</t>
  </si>
  <si>
    <t>40-49,99</t>
  </si>
  <si>
    <t>50-59,99</t>
  </si>
  <si>
    <t>60-69,99</t>
  </si>
  <si>
    <t>70-79,99</t>
  </si>
  <si>
    <t>80-89,99</t>
  </si>
  <si>
    <t>90-100</t>
  </si>
  <si>
    <t>Prix pour 1000 litres(en euro)</t>
  </si>
  <si>
    <t>Elevage BIO :</t>
  </si>
  <si>
    <t>poulailler (poules)</t>
  </si>
  <si>
    <t>parc à volailles (poules)</t>
  </si>
  <si>
    <t>poulailler (pintades)</t>
  </si>
  <si>
    <t>parc à volailles (pintades)</t>
  </si>
  <si>
    <t>poulailler (oies)</t>
  </si>
  <si>
    <t>parc à volailles (oies)</t>
  </si>
  <si>
    <t>poulailler (canards)</t>
  </si>
  <si>
    <t>niveau d'équimement</t>
  </si>
  <si>
    <t>surcout construction</t>
  </si>
  <si>
    <t>économie d'énergie</t>
  </si>
  <si>
    <t>parc à volailles (canards)</t>
  </si>
  <si>
    <t>écurie (chevaux de selle)</t>
  </si>
  <si>
    <t>écurie (chevaux de trait)</t>
  </si>
  <si>
    <t>écurie (poneys)</t>
  </si>
  <si>
    <t>Stabulation</t>
  </si>
  <si>
    <t>Salle de traite pour vaches</t>
  </si>
  <si>
    <t>Salle de traite pour chèvres</t>
  </si>
  <si>
    <t>Salle de traite pour brebis</t>
  </si>
  <si>
    <t>Cuve à lait</t>
  </si>
  <si>
    <t>Cuve à eau</t>
  </si>
  <si>
    <t>Parc à lapins</t>
  </si>
  <si>
    <t>Salle de conditionnement</t>
  </si>
  <si>
    <t>Pièce de stockage œufs</t>
  </si>
  <si>
    <t>Pièce de stockage laine</t>
  </si>
  <si>
    <t>Cuve à carburant (HVC)</t>
  </si>
  <si>
    <t>Ligne de stockage pomme de terre</t>
  </si>
  <si>
    <t>poste</t>
  </si>
  <si>
    <t>abri</t>
  </si>
  <si>
    <t>robot</t>
  </si>
  <si>
    <t>œuf</t>
  </si>
  <si>
    <t>ligne</t>
  </si>
  <si>
    <t>par litre de lait</t>
  </si>
  <si>
    <t>par œuf</t>
  </si>
  <si>
    <t>Parc et abris à porcins</t>
  </si>
  <si>
    <t>R=1 an</t>
  </si>
  <si>
    <t>R=2 ans</t>
  </si>
  <si>
    <t>CANADA</t>
  </si>
  <si>
    <t>Ile-du-Prince-Edouard</t>
  </si>
  <si>
    <t>Nouvelle-Ecosse</t>
  </si>
  <si>
    <t>Nouveau-Brunswick</t>
  </si>
  <si>
    <t>Saskatchewan</t>
  </si>
  <si>
    <t>Colombie-Britannique</t>
  </si>
  <si>
    <t>ETATS-UNIS</t>
  </si>
  <si>
    <t>Côte Pacifique</t>
  </si>
  <si>
    <t>Nord-Ouest</t>
  </si>
  <si>
    <t>Sud-Ouest</t>
  </si>
  <si>
    <t>Nord-Est</t>
  </si>
  <si>
    <t>Sud</t>
  </si>
  <si>
    <t>R=4 ans</t>
  </si>
  <si>
    <t>R=3 ans</t>
  </si>
  <si>
    <t>R=6 ans</t>
  </si>
  <si>
    <t>Chanvre Industriel</t>
  </si>
  <si>
    <t>R=5 ans</t>
  </si>
  <si>
    <t>VOLAILLES</t>
  </si>
  <si>
    <t>CHEVAUX DE TRAIT</t>
  </si>
  <si>
    <t>PONEYS</t>
  </si>
  <si>
    <t xml:space="preserve">RATIONS : </t>
  </si>
  <si>
    <t>Ration hivernale</t>
  </si>
  <si>
    <t>RATIONS :</t>
  </si>
  <si>
    <t>prix vente récolte (€/t)</t>
  </si>
  <si>
    <t>semence (kg/ha)</t>
  </si>
  <si>
    <t>Déserbant défanage chimique</t>
  </si>
  <si>
    <t>prix (€/l)</t>
  </si>
  <si>
    <t>max 2ha</t>
  </si>
  <si>
    <t>pour 1ha il faut :</t>
  </si>
  <si>
    <t>graines</t>
  </si>
  <si>
    <t>serre vitrée (m²)</t>
  </si>
  <si>
    <t>plateaux polystyrène</t>
  </si>
  <si>
    <t>bac maraichage (m²)</t>
  </si>
  <si>
    <t>bâche plastique (m²)</t>
  </si>
  <si>
    <t>herbe</t>
  </si>
  <si>
    <t>paille/foin (€/t)</t>
  </si>
  <si>
    <t>miscanthus</t>
  </si>
  <si>
    <t>Provence-Alpes-Côtes-d'Azur</t>
  </si>
  <si>
    <t>BELGIQUE</t>
  </si>
  <si>
    <t>SUISSE</t>
  </si>
  <si>
    <t>Suisse Alémanique</t>
  </si>
  <si>
    <t>graine</t>
  </si>
  <si>
    <t>Le Ray-grass Italie</t>
  </si>
  <si>
    <t>Le Ray-grass anglais</t>
  </si>
  <si>
    <t>Le Dactyle</t>
  </si>
  <si>
    <t>La Fétuque élevée</t>
  </si>
  <si>
    <t>La Fléole</t>
  </si>
  <si>
    <t>Le Brome</t>
  </si>
  <si>
    <t>20 / 25</t>
  </si>
  <si>
    <t>15 / 20</t>
  </si>
  <si>
    <t>La Trèfle blanc</t>
  </si>
  <si>
    <t>17 / 23</t>
  </si>
  <si>
    <t>Le Trèfle violet</t>
  </si>
  <si>
    <t>6/8</t>
  </si>
  <si>
    <t>1/3</t>
  </si>
  <si>
    <t>5/7</t>
  </si>
  <si>
    <t> l'herbe a besoin d'éléments nutritifs (besoins exprimés en Kg / Tonne de rendement) :</t>
  </si>
  <si>
    <t>Graminées</t>
  </si>
  <si>
    <t>Phospore (p)</t>
  </si>
  <si>
    <t>Magnésium (Mg</t>
  </si>
  <si>
    <t>20 /30</t>
  </si>
  <si>
    <t>18 / 24</t>
  </si>
  <si>
    <t>22 / 32</t>
  </si>
  <si>
    <t>50 / 56</t>
  </si>
  <si>
    <t>77 / 87</t>
  </si>
  <si>
    <t>59 / 69</t>
  </si>
  <si>
    <t>30 / 36</t>
  </si>
  <si>
    <t>20 / 26</t>
  </si>
  <si>
    <t>52 / 62</t>
  </si>
  <si>
    <t>13 / 19</t>
  </si>
  <si>
    <t>66 / 76</t>
  </si>
  <si>
    <t>46 / 56</t>
  </si>
  <si>
    <t>41 / 51</t>
  </si>
  <si>
    <t>20 / 30</t>
  </si>
  <si>
    <t>50 / 70</t>
  </si>
  <si>
    <t>25 / 35</t>
  </si>
  <si>
    <t>70 / 90</t>
  </si>
  <si>
    <t>40 / 60</t>
  </si>
  <si>
    <t>27 / 33</t>
  </si>
  <si>
    <t>Compost (15 T/hect)</t>
  </si>
  <si>
    <t>Ecume de sucrerie (15 T/hect)</t>
  </si>
  <si>
    <t>apport d'éléments nutritifs en effectuant un épandage sur votre parcelle (exprimés en kg / hectare épandu) :</t>
  </si>
  <si>
    <t>besoins en éléments nutritifs (Kg / Tonne de rendement) :</t>
  </si>
  <si>
    <t>10/16</t>
  </si>
  <si>
    <t>4/6</t>
  </si>
  <si>
    <t>3/5</t>
  </si>
  <si>
    <t>7/11</t>
  </si>
  <si>
    <t>8/12</t>
  </si>
  <si>
    <t>10/14</t>
  </si>
  <si>
    <t>0,5 / 1,5</t>
  </si>
  <si>
    <t>0,5/ 1,5</t>
  </si>
  <si>
    <t>6,5 / 7,5</t>
  </si>
  <si>
    <t>0,5 / 1,1</t>
  </si>
  <si>
    <t>0,6 / 1,2</t>
  </si>
  <si>
    <t>12/16</t>
  </si>
  <si>
    <t>12/18</t>
  </si>
  <si>
    <t>9/13</t>
  </si>
  <si>
    <t>2/4</t>
  </si>
  <si>
    <t>7/9</t>
  </si>
  <si>
    <t>5/9</t>
  </si>
  <si>
    <t>4/8</t>
  </si>
  <si>
    <t>9/15</t>
  </si>
  <si>
    <t>11/15</t>
  </si>
  <si>
    <t>6/10</t>
  </si>
  <si>
    <t>1,2 à 2,2</t>
  </si>
  <si>
    <t>0,5 à 1,5</t>
  </si>
  <si>
    <t>rendement mini</t>
  </si>
  <si>
    <t>rendement maxi</t>
  </si>
  <si>
    <t>prix semence (€/kg)</t>
  </si>
  <si>
    <t>prix vente grain (€/t)</t>
  </si>
  <si>
    <t>prix vente balles (€/t)</t>
  </si>
  <si>
    <t>prix semence G (€/kg)</t>
  </si>
  <si>
    <t>prix semence P (€/kg)</t>
  </si>
  <si>
    <t>prix semence GP (€/kg)</t>
  </si>
  <si>
    <t>spécificité</t>
  </si>
  <si>
    <t>spécificité 1</t>
  </si>
  <si>
    <t>Spécificité 2</t>
  </si>
  <si>
    <t>Liste pays</t>
  </si>
  <si>
    <t>Spécificité</t>
  </si>
  <si>
    <t>Ration</t>
  </si>
  <si>
    <t>chevaux de selle au pré en hiver?</t>
  </si>
  <si>
    <t>chevaux de trait au pré en hiver?</t>
  </si>
  <si>
    <t>poneys au pré en hiver?</t>
  </si>
  <si>
    <t>Aliments nécessaire</t>
  </si>
  <si>
    <t>Aliments à commander</t>
  </si>
  <si>
    <t>Ration hivernale pour ta ferme</t>
  </si>
  <si>
    <t>OIES FOIE GRAS</t>
  </si>
  <si>
    <t>CANARDS FOIE GRAS</t>
  </si>
  <si>
    <t>oison M/F 2-3 mois</t>
  </si>
  <si>
    <t>oison M/F 0-1 mois</t>
  </si>
  <si>
    <t>oison M/F 1-2 mois</t>
  </si>
  <si>
    <t>Phase d'élevage</t>
  </si>
  <si>
    <t>Phase de gavage</t>
  </si>
  <si>
    <t>jeune de 3 mois et +</t>
  </si>
  <si>
    <t>Aliment</t>
  </si>
  <si>
    <t>Specificite</t>
  </si>
  <si>
    <t>c</t>
  </si>
  <si>
    <t>s1</t>
  </si>
  <si>
    <t>s2</t>
  </si>
  <si>
    <t>Valeur 0-3</t>
  </si>
  <si>
    <t>Valeur 3-6</t>
  </si>
  <si>
    <t>Valeur 6-12</t>
  </si>
  <si>
    <t>Valeur 12-18</t>
  </si>
  <si>
    <t>Valeur 18-24</t>
  </si>
  <si>
    <t>Valeur 24-36</t>
  </si>
  <si>
    <t>Valeur 36 et plus</t>
  </si>
  <si>
    <t>Val 0-3</t>
  </si>
  <si>
    <t>Val 3-6</t>
  </si>
  <si>
    <t>Val 6-12</t>
  </si>
  <si>
    <t>Val 12-18</t>
  </si>
  <si>
    <t>Val 18-24</t>
  </si>
  <si>
    <t>Val 24-36</t>
  </si>
  <si>
    <t>Val 36 et plus</t>
  </si>
  <si>
    <t>somme</t>
  </si>
  <si>
    <t>Chanvre</t>
  </si>
  <si>
    <t>Minéraux + vitamines</t>
  </si>
  <si>
    <t>Pulpe déshydratée de betterave</t>
  </si>
  <si>
    <t>Tourteau de colza</t>
  </si>
  <si>
    <t>Tourteau de tournesol</t>
  </si>
  <si>
    <t>aliment</t>
  </si>
  <si>
    <t>complet</t>
  </si>
  <si>
    <t>Ration complète pour ta ferme</t>
  </si>
  <si>
    <t>Ration hivernale complète pour ta ferme</t>
  </si>
  <si>
    <t>Valeur 12 et plus</t>
  </si>
  <si>
    <t>Ration hivernale complète?</t>
  </si>
  <si>
    <t>Quantité d'aliment (en kg/jour)</t>
  </si>
  <si>
    <t>Maïs ensilé + Bouchons luzerne</t>
  </si>
  <si>
    <t>Maïs ensilé + sorgho ensilé + Bouchons luzerne</t>
  </si>
  <si>
    <t>semences de chanver (GP)</t>
  </si>
  <si>
    <t>balles de lin 300kg</t>
  </si>
  <si>
    <t>concentré pour jeunes bovins</t>
  </si>
  <si>
    <t>concentré pour jeunes porcins</t>
  </si>
  <si>
    <t>concentré pour jeunes lapins</t>
  </si>
  <si>
    <t>minéraux &amp; vitamines</t>
  </si>
  <si>
    <t>place nécessaire dans batiments</t>
  </si>
  <si>
    <t>surface (m²)</t>
  </si>
  <si>
    <t>Prix vaccin/animal</t>
  </si>
  <si>
    <t>prix vaccin</t>
  </si>
  <si>
    <t>Batiments</t>
  </si>
  <si>
    <t>Animaux</t>
  </si>
  <si>
    <t>Lisier</t>
  </si>
  <si>
    <t>Litière</t>
  </si>
  <si>
    <t>Total</t>
  </si>
  <si>
    <t>Litière tout bovins</t>
  </si>
  <si>
    <t>litière races laitières</t>
  </si>
  <si>
    <t>caneton M/F 0-1 mois</t>
  </si>
  <si>
    <t>caneton M/F 1-2 mois</t>
  </si>
  <si>
    <t>caneton M/F 2-3 mois</t>
  </si>
  <si>
    <t>chevaux de selle</t>
  </si>
  <si>
    <t>chevaux de trait</t>
  </si>
  <si>
    <t>Ray-grass Italie</t>
  </si>
  <si>
    <t>foin</t>
  </si>
  <si>
    <t>Ray-grass anglais</t>
  </si>
  <si>
    <t>pâture</t>
  </si>
  <si>
    <t>Dactyle</t>
  </si>
  <si>
    <t>Fétuque élevée</t>
  </si>
  <si>
    <t>Fléole</t>
  </si>
  <si>
    <t>Brome</t>
  </si>
  <si>
    <t>M 0-3 mois</t>
  </si>
  <si>
    <t>F 0-3 mois</t>
  </si>
  <si>
    <t>M 3-6 mois</t>
  </si>
  <si>
    <t>F 3-6 mois</t>
  </si>
  <si>
    <t>M 6-12 mois</t>
  </si>
  <si>
    <t>F 6-12 mois</t>
  </si>
  <si>
    <t>M 12-18 mois</t>
  </si>
  <si>
    <t>F 12-18 mois</t>
  </si>
  <si>
    <t>M 18-24 mois</t>
  </si>
  <si>
    <t>F 18-24 mois</t>
  </si>
  <si>
    <t>M 24-36 mois</t>
  </si>
  <si>
    <t>F 24-36 mois</t>
  </si>
  <si>
    <t>M 3 ans et +</t>
  </si>
  <si>
    <t>F 3 ans et +</t>
  </si>
  <si>
    <t>Animaux de ta ferme au pré</t>
  </si>
  <si>
    <t>tranche d'ages</t>
  </si>
  <si>
    <t>type de pré :</t>
  </si>
  <si>
    <t>pousse journalière :</t>
  </si>
  <si>
    <t>source dans prairies</t>
  </si>
  <si>
    <t>Assez d'aliments dans tes silos?</t>
  </si>
  <si>
    <t>Assez de place dans tes bâtiments d'élevages?</t>
  </si>
  <si>
    <t>Tes animaux doivent aller au pré l'été et/ou l'hiver?</t>
  </si>
  <si>
    <t>Assez d'aliments dans tes entrepôts?</t>
  </si>
  <si>
    <t>Quantité de paille pour la litière pour ta ferme (en kg):</t>
  </si>
  <si>
    <t>Production de lisier dans ta ferme(en litre) :</t>
  </si>
  <si>
    <t>Caprins  au pré en été?</t>
  </si>
  <si>
    <t>Bovins  au pré en été?</t>
  </si>
  <si>
    <t>Bovins allaitants au pré en hiver?</t>
  </si>
  <si>
    <t>Ovins  au pré en été?</t>
  </si>
  <si>
    <t>Ovins allaitants au pré en hiver?</t>
  </si>
  <si>
    <t>Chevaux  au pré en été?</t>
  </si>
  <si>
    <t>Poneys  au pré en été?</t>
  </si>
  <si>
    <t>Ration complète (hors hiver)?</t>
  </si>
  <si>
    <t>place restante dans tes silos :</t>
  </si>
  <si>
    <t>pour gérer tes silos</t>
  </si>
  <si>
    <t>Pommier</t>
  </si>
  <si>
    <t>Poirier</t>
  </si>
  <si>
    <t>Pêcher</t>
  </si>
  <si>
    <t>Cerisier</t>
  </si>
  <si>
    <t>Prunier</t>
  </si>
  <si>
    <t>Mirabellier</t>
  </si>
  <si>
    <t>chevaux selle</t>
  </si>
  <si>
    <t>chevaux trait</t>
  </si>
  <si>
    <t>Noyer</t>
  </si>
  <si>
    <t>Olivier</t>
  </si>
  <si>
    <t>Framboisier</t>
  </si>
  <si>
    <t>Groseiller</t>
  </si>
  <si>
    <t>Myrtillier</t>
  </si>
  <si>
    <t>Nombre de jour à nourrir par espèce</t>
  </si>
  <si>
    <t>Trèfle blanc</t>
  </si>
  <si>
    <t>Trèfle violet</t>
  </si>
  <si>
    <t>prix au 2 juillet saison 63 (€/kg)</t>
  </si>
  <si>
    <t>équins (selle, trait, poneys)</t>
  </si>
  <si>
    <t>ovins (moutons)</t>
  </si>
  <si>
    <t>place restante dans l'aire/les aires de stockage paille/foin :</t>
  </si>
  <si>
    <t>pour gérer ton/tes aire(s)</t>
  </si>
  <si>
    <t>Qualité des aliments</t>
  </si>
  <si>
    <t>BONNE</t>
  </si>
  <si>
    <t>MOYENNE</t>
  </si>
  <si>
    <t>MAUVAISE</t>
  </si>
  <si>
    <t>BONNE QUALITE</t>
  </si>
  <si>
    <t>MOYENNE QUALITE</t>
  </si>
  <si>
    <t>MAUVAISE QUALITE</t>
  </si>
  <si>
    <t>1 jour</t>
  </si>
  <si>
    <t>2 jours</t>
  </si>
  <si>
    <t>3 jours</t>
  </si>
  <si>
    <t>4 jours</t>
  </si>
  <si>
    <t>5 jours</t>
  </si>
  <si>
    <t>6 jours</t>
  </si>
  <si>
    <t>7 jours</t>
  </si>
  <si>
    <t>8 jours</t>
  </si>
  <si>
    <t>9 jours</t>
  </si>
  <si>
    <t>10 jours</t>
  </si>
  <si>
    <t>11 jours</t>
  </si>
  <si>
    <t>12 jours</t>
  </si>
  <si>
    <t>13 jours</t>
  </si>
  <si>
    <t>14 jours</t>
  </si>
  <si>
    <t>15 jours</t>
  </si>
  <si>
    <t>3 mois</t>
  </si>
  <si>
    <t>4 mois</t>
  </si>
  <si>
    <t>5 mois</t>
  </si>
  <si>
    <t>6 mois</t>
  </si>
  <si>
    <t>7 mois</t>
  </si>
  <si>
    <t>8 mois</t>
  </si>
  <si>
    <t>9 mois</t>
  </si>
  <si>
    <t>10 mois</t>
  </si>
  <si>
    <t>11 mois</t>
  </si>
  <si>
    <t>autres (lapins, porcins, volailles, pintades)</t>
  </si>
  <si>
    <t>Tu veux stocker pour combien de jours?</t>
  </si>
  <si>
    <t>Valeur 12 et plus (M)</t>
  </si>
  <si>
    <t>Valeur 12 et plus (F)</t>
  </si>
  <si>
    <t>Valeur 6-12 (M)</t>
  </si>
  <si>
    <t>Valeur 6-12 (F)</t>
  </si>
  <si>
    <t>Valeur 3-6 (M)</t>
  </si>
  <si>
    <t>Valeur 3-6 (F)</t>
  </si>
  <si>
    <t>Valeur 0-3 (M)</t>
  </si>
  <si>
    <t>Valeur 0-3 (F)</t>
  </si>
  <si>
    <t>Tourteau de Colza</t>
  </si>
  <si>
    <t>Qualité ration complète (hors hiver):</t>
  </si>
  <si>
    <t>Qualité ration hivernale complète:</t>
  </si>
  <si>
    <t>Qualité ration complète :</t>
  </si>
  <si>
    <t>Ration hivernale pour tes mâles</t>
  </si>
  <si>
    <t>Ration hivernale pour ta femelles</t>
  </si>
  <si>
    <t>Ration pour tes mâles</t>
  </si>
  <si>
    <t>Ration pour tes femelles</t>
  </si>
  <si>
    <t>lapine</t>
  </si>
  <si>
    <t xml:space="preserve">Ration pour tes mâles : </t>
  </si>
  <si>
    <t xml:space="preserve">Ration pour tes femelles : </t>
  </si>
  <si>
    <t>concentré jeunes porcins</t>
  </si>
  <si>
    <t>concentré jeunes bovins</t>
  </si>
  <si>
    <t>concentré jeunes lapins</t>
  </si>
  <si>
    <t>***</t>
  </si>
  <si>
    <t>**</t>
  </si>
  <si>
    <t>*</t>
  </si>
  <si>
    <t>Qualité aliments pour ta ferme</t>
  </si>
  <si>
    <t>25</t>
  </si>
  <si>
    <t xml:space="preserve"> </t>
  </si>
  <si>
    <t>35000</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</si>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</sst>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0.00\ &quot;€&quot;&quot;/&quot;\t"/>
    <numFmt numFmtId="165" formatCode="#,##0.00\ &quot;€&quot;"/>
    <numFmt numFmtId="166" formatCode="#,##0.00\ &quot;€&quot;&quot;/&quot;\k&quot;g&quot;"/>
    <numFmt numFmtId="167" formatCode="#,##0.0000\ &quot;€&quot;&quot;/&quot;\l"/>
    <numFmt numFmtId="168" formatCode="####&quot; en trop&quot;"/>
    <numFmt numFmtId="169" formatCode="####0.00&quot; m2&quot;"/>
    <numFmt numFmtId="170" formatCode="0.000"/>
  </numFmts>
  <fonts count="28" x14ac:knownFonts="1">
    <font>
      <sz val="10"/>
      <name val="Arial"/>
    </font>
    <font>
      <u/>
      <sz val="10"/>
      <color indexed="12"/>
      <name val="Arial"/>
      <family val="2"/>
    </font>
    <font>
      <b/>
      <sz val="12"/>
      <name val="Times New Roman"/>
      <family val="1"/>
    </font>
    <font>
      <b/>
      <sz val="10"/>
      <name val="Times New Roman"/>
      <family val="1"/>
    </font>
    <font>
      <sz val="10"/>
      <name val="Times New Roman"/>
      <family val="1"/>
    </font>
    <font>
      <sz val="10"/>
      <color indexed="9"/>
      <name val="Times New Roman"/>
      <family val="1"/>
    </font>
    <font>
      <b/>
      <sz val="10"/>
      <color indexed="10"/>
      <name val="Times New Roman"/>
      <family val="1"/>
    </font>
    <font>
      <b/>
      <u/>
      <sz val="10"/>
      <color indexed="10"/>
      <name val="Times New Roman"/>
      <family val="1"/>
    </font>
    <font>
      <b/>
      <u/>
      <sz val="10"/>
      <color indexed="12"/>
      <name val="Times New Roman"/>
      <family val="1"/>
    </font>
    <font>
      <b/>
      <sz val="10"/>
      <color indexed="9"/>
      <name val="Times New Roman"/>
      <family val="1"/>
    </font>
    <font>
      <b/>
      <sz val="10"/>
      <color indexed="12"/>
      <name val="Times New Roman"/>
      <family val="1"/>
    </font>
    <font>
      <sz val="10"/>
      <color indexed="10"/>
      <name val="Times New Roman"/>
      <family val="1"/>
    </font>
    <font>
      <sz val="10"/>
      <color indexed="81"/>
      <name val="Times New Roman"/>
      <family val="1"/>
    </font>
    <font>
      <b/>
      <u/>
      <sz val="10"/>
      <color indexed="14"/>
      <name val="Times New Roman"/>
      <family val="1"/>
    </font>
    <font>
      <sz val="10"/>
      <color indexed="16"/>
      <name val="Times New Roman"/>
      <family val="1"/>
    </font>
    <font>
      <sz val="10"/>
      <color indexed="9"/>
      <name val="Times New Roman"/>
      <family val="1"/>
    </font>
    <font>
      <sz val="10"/>
      <color rgb="FFFF0000"/>
      <name val="Times New Roman"/>
      <family val="1"/>
    </font>
    <font>
      <b/>
      <sz val="10"/>
      <color theme="0"/>
      <name val="Times New Roman"/>
      <family val="1"/>
    </font>
    <font>
      <sz val="10"/>
      <color theme="0"/>
      <name val="Times New Roman"/>
      <family val="1"/>
    </font>
    <font>
      <sz val="10"/>
      <name val="Arial"/>
      <family val="2"/>
    </font>
    <font>
      <sz val="10"/>
      <color theme="6" tint="0.59999389629810485"/>
      <name val="Times New Roman"/>
      <family val="1"/>
    </font>
    <font>
      <sz val="10"/>
      <color theme="9" tint="0.79998168889431442"/>
      <name val="Times New Roman"/>
      <family val="1"/>
    </font>
    <font>
      <b/>
      <sz val="10"/>
      <color theme="0"/>
      <name val="Times New Roman"/>
      <family val="1"/>
    </font>
    <font>
      <b/>
      <sz val="10"/>
      <color rgb="FF0070C0"/>
      <name val="Times New Roman"/>
      <family val="1"/>
    </font>
    <font>
      <sz val="10"/>
      <color theme="1"/>
      <name val="Times New Roman"/>
      <family val="1"/>
    </font>
    <font>
      <b/>
      <sz val="10"/>
      <color theme="1"/>
      <name val="Times New Roman"/>
      <family val="1"/>
    </font>
    <font>
      <sz val="9"/>
      <color indexed="81"/>
      <name val="Tahoma"/>
      <family val="2"/>
    </font>
    <font>
      <b/>
      <sz val="10"/>
      <color rgb="FFFF0000"/>
      <name val="Times New Roman"/>
      <family val="1"/>
    </font>
  </fonts>
  <fills count="16">
    <fill>
      <patternFill patternType="none"/>
    </fill>
    <fill>
      <patternFill patternType="gray125"/>
    </fill>
    <fill>
      <patternFill patternType="solid">
        <fgColor indexed="15"/>
        <bgColor indexed="64"/>
      </patternFill>
    </fill>
    <fill>
      <patternFill patternType="solid">
        <fgColor indexed="9"/>
        <bgColor indexed="64"/>
      </patternFill>
    </fill>
    <fill>
      <patternFill patternType="solid">
        <fgColor indexed="47"/>
        <bgColor indexed="64"/>
      </patternFill>
    </fill>
    <fill>
      <patternFill patternType="solid">
        <fgColor indexed="22"/>
        <bgColor indexed="64"/>
      </patternFill>
    </fill>
    <fill>
      <patternFill patternType="solid">
        <fgColor indexed="13"/>
        <bgColor indexed="64"/>
      </patternFill>
    </fill>
    <fill>
      <patternFill patternType="solid">
        <fgColor indexed="42"/>
        <bgColor indexed="64"/>
      </patternFill>
    </fill>
    <fill>
      <patternFill patternType="solid">
        <fgColor indexed="41"/>
        <bgColor indexed="64"/>
      </patternFill>
    </fill>
    <fill>
      <patternFill patternType="solid">
        <fgColor theme="0"/>
        <bgColor indexed="64"/>
      </patternFill>
    </fill>
    <fill>
      <patternFill patternType="solid">
        <fgColor theme="6" tint="0.59999389629810485"/>
        <bgColor indexed="64"/>
      </patternFill>
    </fill>
    <fill>
      <patternFill patternType="solid">
        <fgColor theme="9" tint="0.79998168889431442"/>
        <bgColor indexed="64"/>
      </patternFill>
    </fill>
    <fill>
      <patternFill patternType="solid">
        <fgColor theme="7" tint="0.39997558519241921"/>
        <bgColor indexed="64"/>
      </patternFill>
    </fill>
    <fill>
      <patternFill patternType="solid">
        <fgColor theme="7" tint="0.79998168889431442"/>
        <bgColor indexed="64"/>
      </patternFill>
    </fill>
    <fill>
      <patternFill patternType="solid">
        <fgColor theme="0" tint="-0.249977111117893"/>
        <bgColor indexed="64"/>
      </patternFill>
    </fill>
    <fill>
      <patternFill patternType="solid">
        <fgColor theme="2" tint="-0.499984740745262"/>
        <bgColor indexed="64"/>
      </patternFill>
    </fill>
  </fills>
  <borders count="5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top/>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top/>
      <bottom/>
      <diagonal/>
    </border>
    <border>
      <left/>
      <right/>
      <top/>
      <bottom style="thin">
        <color indexed="64"/>
      </bottom>
      <diagonal/>
    </border>
    <border>
      <left/>
      <right style="medium">
        <color indexed="64"/>
      </right>
      <top/>
      <bottom style="medium">
        <color indexed="64"/>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medium">
        <color indexed="64"/>
      </right>
      <top/>
      <bottom style="medium">
        <color indexed="64"/>
      </bottom>
      <diagonal/>
    </border>
    <border>
      <left/>
      <right style="thin">
        <color indexed="64"/>
      </right>
      <top/>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style="medium">
        <color indexed="64"/>
      </left>
      <right style="medium">
        <color indexed="64"/>
      </right>
      <top/>
      <bottom/>
      <diagonal/>
    </border>
    <border>
      <left/>
      <right style="medium">
        <color indexed="64"/>
      </right>
      <top/>
      <bottom/>
      <diagonal/>
    </border>
    <border>
      <left style="thin">
        <color indexed="64"/>
      </left>
      <right/>
      <top style="medium">
        <color indexed="64"/>
      </top>
      <bottom style="thin">
        <color indexed="64"/>
      </bottom>
      <diagonal/>
    </border>
    <border>
      <left/>
      <right/>
      <top style="medium">
        <color indexed="64"/>
      </top>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style="thin">
        <color indexed="64"/>
      </left>
      <right style="medium">
        <color indexed="64"/>
      </right>
      <top/>
      <bottom style="thin">
        <color indexed="64"/>
      </bottom>
      <diagonal/>
    </border>
    <border>
      <left/>
      <right/>
      <top style="medium">
        <color indexed="64"/>
      </top>
      <bottom style="thin">
        <color indexed="64"/>
      </bottom>
      <diagonal/>
    </border>
    <border>
      <left/>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theme="0"/>
      </left>
      <right/>
      <top/>
      <bottom/>
      <diagonal/>
    </border>
  </borders>
  <cellStyleXfs count="3">
    <xf numFmtId="0" fontId="0" fillId="0" borderId="0"/>
    <xf numFmtId="0" fontId="1" fillId="0" borderId="0" applyNumberFormat="0" applyFill="0" applyBorder="0" applyAlignment="0" applyProtection="0">
      <alignment vertical="top"/>
      <protection locked="0"/>
    </xf>
    <xf numFmtId="0" fontId="19" fillId="0" borderId="0"/>
  </cellStyleXfs>
  <cellXfs count="464">
    <xf numFmtId="0" fontId="0" fillId="0" borderId="0" xfId="0"/>
    <xf numFmtId="0" fontId="3" fillId="3" borderId="0" xfId="0" applyFont="1" applyFill="1" applyBorder="1" applyAlignment="1" applyProtection="1">
      <alignment vertical="center" wrapText="1"/>
    </xf>
    <xf numFmtId="0" fontId="3" fillId="2" borderId="1" xfId="0" applyFont="1" applyFill="1" applyBorder="1" applyAlignment="1" applyProtection="1">
      <alignment horizontal="center" vertical="center"/>
      <protection locked="0"/>
    </xf>
    <xf numFmtId="0" fontId="3" fillId="5" borderId="8" xfId="0" applyFont="1" applyFill="1" applyBorder="1" applyAlignment="1" applyProtection="1">
      <alignment horizontal="center" vertical="center" wrapText="1"/>
    </xf>
    <xf numFmtId="0" fontId="3" fillId="2" borderId="16" xfId="0" applyFont="1" applyFill="1" applyBorder="1" applyAlignment="1" applyProtection="1">
      <alignment vertical="center"/>
      <protection locked="0"/>
    </xf>
    <xf numFmtId="0" fontId="3" fillId="2" borderId="13" xfId="0" applyFont="1" applyFill="1" applyBorder="1" applyAlignment="1" applyProtection="1">
      <alignment vertical="center"/>
      <protection locked="0"/>
    </xf>
    <xf numFmtId="0" fontId="3" fillId="5" borderId="20" xfId="0" applyFont="1" applyFill="1" applyBorder="1" applyAlignment="1" applyProtection="1">
      <alignment horizontal="center" vertical="center" wrapText="1"/>
    </xf>
    <xf numFmtId="0" fontId="3" fillId="5" borderId="21" xfId="0" applyFont="1" applyFill="1" applyBorder="1" applyAlignment="1" applyProtection="1">
      <alignment horizontal="center" vertical="center" wrapText="1"/>
    </xf>
    <xf numFmtId="0" fontId="4" fillId="0" borderId="0" xfId="0" applyFont="1" applyFill="1" applyBorder="1" applyAlignment="1" applyProtection="1">
      <alignment horizontal="center" vertical="center"/>
    </xf>
    <xf numFmtId="0" fontId="3" fillId="0" borderId="14" xfId="0" applyFont="1" applyFill="1" applyBorder="1" applyAlignment="1" applyProtection="1">
      <alignment vertical="center"/>
    </xf>
    <xf numFmtId="0" fontId="3" fillId="0" borderId="7" xfId="0" applyFont="1" applyFill="1" applyBorder="1" applyAlignment="1" applyProtection="1">
      <alignment vertical="center"/>
    </xf>
    <xf numFmtId="0" fontId="3" fillId="0" borderId="14" xfId="0" applyFont="1" applyBorder="1" applyAlignment="1" applyProtection="1">
      <alignment vertical="center"/>
    </xf>
    <xf numFmtId="0" fontId="3" fillId="0" borderId="7" xfId="0" applyFont="1" applyBorder="1" applyAlignment="1" applyProtection="1">
      <alignment vertical="center"/>
    </xf>
    <xf numFmtId="0" fontId="3" fillId="7" borderId="14" xfId="0" applyFont="1" applyFill="1" applyBorder="1" applyAlignment="1" applyProtection="1">
      <alignment vertical="center"/>
    </xf>
    <xf numFmtId="0" fontId="3" fillId="7" borderId="7" xfId="0" applyFont="1" applyFill="1" applyBorder="1" applyAlignment="1" applyProtection="1">
      <alignment vertical="center"/>
    </xf>
    <xf numFmtId="0" fontId="4" fillId="3" borderId="0" xfId="0" applyFont="1" applyFill="1" applyAlignment="1" applyProtection="1">
      <alignment vertical="center"/>
    </xf>
    <xf numFmtId="0" fontId="3" fillId="4" borderId="3" xfId="0" applyFont="1" applyFill="1" applyBorder="1" applyAlignment="1" applyProtection="1">
      <alignment vertical="center"/>
    </xf>
    <xf numFmtId="0" fontId="4" fillId="0" borderId="0" xfId="0" applyFont="1" applyFill="1" applyAlignment="1" applyProtection="1">
      <alignment vertical="center"/>
    </xf>
    <xf numFmtId="0" fontId="3" fillId="5" borderId="1" xfId="0" applyFont="1" applyFill="1" applyBorder="1" applyAlignment="1" applyProtection="1">
      <alignment horizontal="right" vertical="center"/>
    </xf>
    <xf numFmtId="0" fontId="3" fillId="0" borderId="1" xfId="0" applyFont="1" applyFill="1" applyBorder="1" applyAlignment="1" applyProtection="1">
      <alignment horizontal="right" vertical="center"/>
    </xf>
    <xf numFmtId="0" fontId="3" fillId="0" borderId="24" xfId="0" applyFont="1" applyBorder="1" applyAlignment="1" applyProtection="1">
      <alignment vertical="center"/>
    </xf>
    <xf numFmtId="0" fontId="3" fillId="0" borderId="33" xfId="0" applyFont="1" applyBorder="1" applyAlignment="1" applyProtection="1">
      <alignment vertical="center"/>
    </xf>
    <xf numFmtId="0" fontId="3" fillId="7" borderId="24" xfId="0" applyFont="1" applyFill="1" applyBorder="1" applyAlignment="1" applyProtection="1">
      <alignment vertical="center"/>
    </xf>
    <xf numFmtId="0" fontId="3" fillId="7" borderId="28" xfId="0" applyFont="1" applyFill="1" applyBorder="1" applyAlignment="1" applyProtection="1">
      <alignment vertical="center"/>
    </xf>
    <xf numFmtId="0" fontId="3" fillId="0" borderId="34" xfId="0" applyFont="1" applyBorder="1" applyAlignment="1" applyProtection="1">
      <alignment vertical="center"/>
    </xf>
    <xf numFmtId="0" fontId="3" fillId="0" borderId="28" xfId="0" applyFont="1" applyBorder="1" applyAlignment="1" applyProtection="1">
      <alignment vertical="center"/>
    </xf>
    <xf numFmtId="0" fontId="3" fillId="0" borderId="6" xfId="0" applyFont="1" applyBorder="1" applyAlignment="1" applyProtection="1">
      <alignment vertical="center"/>
    </xf>
    <xf numFmtId="0" fontId="3" fillId="7" borderId="6" xfId="0" applyFont="1" applyFill="1" applyBorder="1" applyAlignment="1" applyProtection="1">
      <alignment vertical="center"/>
    </xf>
    <xf numFmtId="0" fontId="3" fillId="0" borderId="4" xfId="0" applyFont="1" applyBorder="1" applyAlignment="1" applyProtection="1">
      <alignment vertical="center"/>
    </xf>
    <xf numFmtId="0" fontId="3" fillId="0" borderId="5" xfId="0" applyFont="1" applyBorder="1" applyAlignment="1" applyProtection="1">
      <alignment vertical="center"/>
    </xf>
    <xf numFmtId="0" fontId="3" fillId="0" borderId="34" xfId="0" applyFont="1" applyFill="1" applyBorder="1" applyAlignment="1" applyProtection="1">
      <alignment vertical="center"/>
    </xf>
    <xf numFmtId="0" fontId="3" fillId="0" borderId="33" xfId="0" applyFont="1" applyFill="1" applyBorder="1" applyAlignment="1" applyProtection="1">
      <alignment vertical="center"/>
    </xf>
    <xf numFmtId="0" fontId="3" fillId="0" borderId="28" xfId="0" applyFont="1" applyFill="1" applyBorder="1" applyAlignment="1" applyProtection="1">
      <alignment vertical="center"/>
    </xf>
    <xf numFmtId="0" fontId="3" fillId="5" borderId="20" xfId="0" applyFont="1" applyFill="1" applyBorder="1" applyAlignment="1" applyProtection="1">
      <alignment horizontal="center" vertical="center"/>
    </xf>
    <xf numFmtId="0" fontId="3" fillId="0" borderId="14" xfId="0" applyFont="1" applyBorder="1" applyAlignment="1" applyProtection="1">
      <alignment horizontal="left" vertical="center"/>
    </xf>
    <xf numFmtId="0" fontId="3" fillId="0" borderId="16" xfId="0" applyFont="1" applyBorder="1" applyAlignment="1" applyProtection="1">
      <alignment horizontal="center" vertical="center" wrapText="1"/>
    </xf>
    <xf numFmtId="0" fontId="3" fillId="3" borderId="7" xfId="0" applyFont="1" applyFill="1" applyBorder="1" applyAlignment="1" applyProtection="1">
      <alignment horizontal="left" vertical="center"/>
    </xf>
    <xf numFmtId="0" fontId="3" fillId="11" borderId="53" xfId="0" applyFont="1" applyFill="1" applyBorder="1" applyAlignment="1" applyProtection="1">
      <alignment vertical="center"/>
    </xf>
    <xf numFmtId="0" fontId="3" fillId="10" borderId="53" xfId="0" applyFont="1" applyFill="1" applyBorder="1" applyAlignment="1" applyProtection="1">
      <alignment vertical="center"/>
    </xf>
    <xf numFmtId="0" fontId="6" fillId="6" borderId="3" xfId="0" applyFont="1" applyFill="1" applyBorder="1" applyAlignment="1" applyProtection="1">
      <alignment vertical="center"/>
    </xf>
    <xf numFmtId="0" fontId="4" fillId="11" borderId="46" xfId="0" applyFont="1" applyFill="1" applyBorder="1" applyAlignment="1" applyProtection="1">
      <alignment horizontal="left" vertical="center"/>
    </xf>
    <xf numFmtId="0" fontId="2" fillId="2" borderId="16" xfId="0" applyFont="1" applyFill="1" applyBorder="1" applyAlignment="1" applyProtection="1">
      <alignment vertical="center"/>
      <protection locked="0"/>
    </xf>
    <xf numFmtId="0" fontId="2" fillId="2" borderId="13" xfId="0" applyFont="1" applyFill="1" applyBorder="1" applyAlignment="1" applyProtection="1">
      <alignment vertical="center"/>
      <protection locked="0"/>
    </xf>
    <xf numFmtId="0" fontId="4" fillId="10" borderId="46" xfId="0" applyFont="1" applyFill="1" applyBorder="1" applyAlignment="1" applyProtection="1">
      <alignment vertical="center"/>
    </xf>
    <xf numFmtId="0" fontId="4" fillId="11" borderId="46" xfId="0" applyFont="1" applyFill="1" applyBorder="1" applyAlignment="1" applyProtection="1">
      <alignment vertical="center"/>
    </xf>
    <xf numFmtId="0" fontId="3" fillId="11" borderId="53" xfId="0" applyFont="1" applyFill="1" applyBorder="1" applyAlignment="1" applyProtection="1">
      <alignment horizontal="right" vertical="center"/>
    </xf>
    <xf numFmtId="0" fontId="4" fillId="11" borderId="37" xfId="0" applyFont="1" applyFill="1" applyBorder="1" applyAlignment="1" applyProtection="1">
      <alignment vertical="center"/>
    </xf>
    <xf numFmtId="0" fontId="4" fillId="10" borderId="0" xfId="0" applyFont="1" applyFill="1" applyBorder="1" applyAlignment="1" applyProtection="1">
      <alignment vertical="center"/>
    </xf>
    <xf numFmtId="0" fontId="4" fillId="10" borderId="35" xfId="0" applyFont="1" applyFill="1" applyBorder="1" applyAlignment="1" applyProtection="1">
      <alignment horizontal="left" vertical="center"/>
    </xf>
    <xf numFmtId="0" fontId="3" fillId="11" borderId="0" xfId="0" applyFont="1" applyFill="1" applyBorder="1" applyAlignment="1" applyProtection="1">
      <alignment horizontal="right" vertical="center"/>
    </xf>
    <xf numFmtId="0" fontId="4" fillId="11" borderId="0" xfId="0" applyFont="1" applyFill="1" applyBorder="1" applyAlignment="1" applyProtection="1">
      <alignment horizontal="left" vertical="center"/>
    </xf>
    <xf numFmtId="0" fontId="4" fillId="11" borderId="0" xfId="0" applyFont="1" applyFill="1" applyBorder="1" applyAlignment="1" applyProtection="1">
      <alignment vertical="center"/>
    </xf>
    <xf numFmtId="0" fontId="4" fillId="11" borderId="53" xfId="0" applyFont="1" applyFill="1" applyBorder="1" applyAlignment="1" applyProtection="1">
      <alignment vertical="center"/>
    </xf>
    <xf numFmtId="0" fontId="4" fillId="11" borderId="35" xfId="0" applyFont="1" applyFill="1" applyBorder="1" applyAlignment="1" applyProtection="1">
      <alignment horizontal="left" vertical="center"/>
    </xf>
    <xf numFmtId="0" fontId="4" fillId="10" borderId="46" xfId="0" applyFont="1" applyFill="1" applyBorder="1" applyAlignment="1" applyProtection="1">
      <alignment horizontal="left" vertical="center"/>
    </xf>
    <xf numFmtId="0" fontId="4" fillId="10" borderId="0" xfId="0" applyFont="1" applyFill="1" applyBorder="1" applyAlignment="1" applyProtection="1">
      <alignment horizontal="left" vertical="center"/>
    </xf>
    <xf numFmtId="0" fontId="16" fillId="0" borderId="0" xfId="0" applyFont="1" applyFill="1" applyAlignment="1" applyProtection="1">
      <alignment vertical="center"/>
    </xf>
    <xf numFmtId="0" fontId="9" fillId="0" borderId="0" xfId="0" applyFont="1" applyFill="1" applyBorder="1" applyAlignment="1" applyProtection="1">
      <alignment horizontal="center" vertical="center" wrapText="1"/>
    </xf>
    <xf numFmtId="0" fontId="16" fillId="0" borderId="0" xfId="0" applyFont="1" applyFill="1" applyAlignment="1" applyProtection="1">
      <alignment horizontal="center" vertical="center"/>
    </xf>
    <xf numFmtId="0" fontId="15" fillId="0" borderId="0" xfId="0" applyFont="1" applyFill="1" applyBorder="1" applyAlignment="1" applyProtection="1">
      <alignment horizontal="center" vertical="center"/>
    </xf>
    <xf numFmtId="0" fontId="16" fillId="0" borderId="0" xfId="0" applyFont="1" applyFill="1" applyBorder="1" applyAlignment="1" applyProtection="1">
      <alignment horizontal="center" vertical="center"/>
    </xf>
    <xf numFmtId="0" fontId="15" fillId="0" borderId="0" xfId="0" applyFont="1" applyFill="1" applyBorder="1" applyAlignment="1" applyProtection="1">
      <alignment horizontal="center" vertical="center"/>
      <protection locked="0"/>
    </xf>
    <xf numFmtId="0" fontId="14" fillId="0" borderId="0" xfId="0" applyFont="1" applyFill="1" applyAlignment="1" applyProtection="1">
      <alignment horizontal="center" vertical="center"/>
    </xf>
    <xf numFmtId="0" fontId="15" fillId="0" borderId="0" xfId="0" applyFont="1" applyFill="1" applyAlignment="1" applyProtection="1">
      <alignment horizontal="center" vertical="center"/>
    </xf>
    <xf numFmtId="0" fontId="5" fillId="0" borderId="0" xfId="0" applyFont="1" applyFill="1" applyBorder="1" applyAlignment="1" applyProtection="1">
      <alignment horizontal="center" vertical="center"/>
    </xf>
    <xf numFmtId="0" fontId="3" fillId="0" borderId="10" xfId="0" applyFont="1" applyBorder="1" applyAlignment="1" applyProtection="1">
      <alignment vertical="center"/>
    </xf>
    <xf numFmtId="0" fontId="3" fillId="7" borderId="18" xfId="0" applyFont="1" applyFill="1" applyBorder="1" applyAlignment="1" applyProtection="1">
      <alignment vertical="center"/>
    </xf>
    <xf numFmtId="0" fontId="3" fillId="7" borderId="17" xfId="0" applyFont="1" applyFill="1" applyBorder="1" applyAlignment="1" applyProtection="1">
      <alignment vertical="center"/>
    </xf>
    <xf numFmtId="0" fontId="3" fillId="5" borderId="16" xfId="0" applyFont="1" applyFill="1" applyBorder="1" applyAlignment="1" applyProtection="1">
      <alignment horizontal="center" vertical="center"/>
    </xf>
    <xf numFmtId="0" fontId="3" fillId="9" borderId="7" xfId="0" applyFont="1" applyFill="1" applyBorder="1" applyAlignment="1" applyProtection="1">
      <alignment vertical="center"/>
    </xf>
    <xf numFmtId="0" fontId="3" fillId="7" borderId="21" xfId="0" applyFont="1" applyFill="1" applyBorder="1" applyAlignment="1" applyProtection="1">
      <alignment vertical="center"/>
    </xf>
    <xf numFmtId="0" fontId="3" fillId="7" borderId="20" xfId="0" applyFont="1" applyFill="1" applyBorder="1" applyAlignment="1" applyProtection="1">
      <alignment vertical="center"/>
    </xf>
    <xf numFmtId="0" fontId="3" fillId="9" borderId="13" xfId="0" applyFont="1" applyFill="1" applyBorder="1" applyAlignment="1" applyProtection="1">
      <alignment vertical="center"/>
    </xf>
    <xf numFmtId="0" fontId="3" fillId="0" borderId="1" xfId="0" applyFont="1" applyFill="1" applyBorder="1" applyAlignment="1" applyProtection="1">
      <alignment horizontal="center" vertical="center"/>
    </xf>
    <xf numFmtId="0" fontId="3" fillId="12" borderId="0" xfId="0" applyFont="1" applyFill="1" applyBorder="1" applyAlignment="1" applyProtection="1">
      <alignment horizontal="center" vertical="center" wrapText="1"/>
    </xf>
    <xf numFmtId="0" fontId="6" fillId="6" borderId="47" xfId="0" applyFont="1" applyFill="1" applyBorder="1" applyAlignment="1" applyProtection="1">
      <alignment vertical="center"/>
    </xf>
    <xf numFmtId="0" fontId="16" fillId="12" borderId="32" xfId="0" applyFont="1" applyFill="1" applyBorder="1" applyAlignment="1" applyProtection="1">
      <alignment vertical="center"/>
    </xf>
    <xf numFmtId="0" fontId="3" fillId="14" borderId="1" xfId="0" applyFont="1" applyFill="1" applyBorder="1" applyAlignment="1" applyProtection="1">
      <alignment horizontal="center" vertical="center" wrapText="1"/>
    </xf>
    <xf numFmtId="0" fontId="3" fillId="14" borderId="20" xfId="0" applyFont="1" applyFill="1" applyBorder="1" applyAlignment="1" applyProtection="1">
      <alignment horizontal="center" vertical="center" wrapText="1"/>
    </xf>
    <xf numFmtId="0" fontId="3" fillId="14" borderId="1" xfId="0" applyFont="1" applyFill="1" applyBorder="1" applyAlignment="1" applyProtection="1">
      <alignment horizontal="right" vertical="center"/>
    </xf>
    <xf numFmtId="0" fontId="2" fillId="2" borderId="10" xfId="0" applyFont="1" applyFill="1" applyBorder="1" applyAlignment="1" applyProtection="1">
      <alignment vertical="center"/>
      <protection locked="0"/>
    </xf>
    <xf numFmtId="0" fontId="3" fillId="5" borderId="1" xfId="0" applyFont="1" applyFill="1" applyBorder="1" applyAlignment="1" applyProtection="1">
      <alignment horizontal="center" vertical="center"/>
    </xf>
    <xf numFmtId="0" fontId="4" fillId="3" borderId="0" xfId="0" applyFont="1" applyFill="1" applyAlignment="1" applyProtection="1">
      <alignment vertical="center"/>
      <protection locked="0"/>
    </xf>
    <xf numFmtId="0" fontId="6" fillId="3" borderId="0" xfId="0" applyFont="1" applyFill="1" applyBorder="1" applyAlignment="1" applyProtection="1">
      <alignment vertical="center"/>
    </xf>
    <xf numFmtId="0" fontId="4" fillId="3" borderId="0" xfId="0" applyFont="1" applyFill="1" applyBorder="1" applyAlignment="1" applyProtection="1">
      <alignment vertical="center"/>
    </xf>
    <xf numFmtId="0" fontId="14" fillId="0" borderId="0" xfId="0" applyFont="1" applyFill="1" applyAlignment="1" applyProtection="1">
      <alignment vertical="center"/>
    </xf>
    <xf numFmtId="0" fontId="5" fillId="0" borderId="0" xfId="0" applyFont="1" applyFill="1" applyAlignment="1" applyProtection="1">
      <alignment vertical="center"/>
    </xf>
    <xf numFmtId="0" fontId="16" fillId="0" borderId="0" xfId="0" applyFont="1" applyFill="1" applyAlignment="1" applyProtection="1">
      <alignment horizontal="right" vertical="center"/>
    </xf>
    <xf numFmtId="0" fontId="11" fillId="0" borderId="0" xfId="0" applyFont="1" applyFill="1" applyAlignment="1" applyProtection="1">
      <alignment vertical="center"/>
    </xf>
    <xf numFmtId="0" fontId="4" fillId="0" borderId="0" xfId="0" applyFont="1" applyAlignment="1" applyProtection="1">
      <alignment vertical="center"/>
    </xf>
    <xf numFmtId="0" fontId="16" fillId="0" borderId="0" xfId="0" applyFont="1" applyFill="1" applyBorder="1" applyAlignment="1" applyProtection="1">
      <alignment vertical="center"/>
    </xf>
    <xf numFmtId="0" fontId="7" fillId="3" borderId="0" xfId="0" applyFont="1" applyFill="1" applyBorder="1" applyAlignment="1" applyProtection="1">
      <alignment vertical="center"/>
    </xf>
    <xf numFmtId="0" fontId="4" fillId="2" borderId="19" xfId="0" applyFont="1" applyFill="1" applyBorder="1" applyAlignment="1" applyProtection="1">
      <alignment vertical="center"/>
      <protection locked="0"/>
    </xf>
    <xf numFmtId="0" fontId="3" fillId="10" borderId="14" xfId="0" applyFont="1" applyFill="1" applyBorder="1" applyAlignment="1" applyProtection="1">
      <alignment vertical="center"/>
    </xf>
    <xf numFmtId="0" fontId="4" fillId="10" borderId="48" xfId="0" applyFont="1" applyFill="1" applyBorder="1" applyAlignment="1" applyProtection="1">
      <alignment vertical="center"/>
    </xf>
    <xf numFmtId="0" fontId="4" fillId="10" borderId="50" xfId="0" applyFont="1" applyFill="1" applyBorder="1" applyAlignment="1" applyProtection="1">
      <alignment vertical="center"/>
    </xf>
    <xf numFmtId="0" fontId="4" fillId="0" borderId="0" xfId="0" applyFont="1" applyFill="1" applyBorder="1" applyAlignment="1" applyProtection="1">
      <alignment vertical="center"/>
    </xf>
    <xf numFmtId="0" fontId="4" fillId="10" borderId="32" xfId="0" applyFont="1" applyFill="1" applyBorder="1" applyAlignment="1" applyProtection="1">
      <alignment vertical="center"/>
    </xf>
    <xf numFmtId="0" fontId="3" fillId="14" borderId="1" xfId="0" applyFont="1" applyFill="1" applyBorder="1" applyAlignment="1" applyProtection="1">
      <alignment horizontal="center" vertical="center"/>
    </xf>
    <xf numFmtId="0" fontId="3" fillId="2" borderId="32" xfId="0" applyFont="1" applyFill="1" applyBorder="1" applyAlignment="1" applyProtection="1">
      <alignment vertical="center"/>
      <protection locked="0"/>
    </xf>
    <xf numFmtId="0" fontId="3" fillId="8" borderId="16" xfId="0" applyFont="1" applyFill="1" applyBorder="1" applyAlignment="1" applyProtection="1">
      <alignment vertical="center"/>
    </xf>
    <xf numFmtId="0" fontId="3" fillId="2" borderId="5" xfId="0" applyFont="1" applyFill="1" applyBorder="1" applyAlignment="1" applyProtection="1">
      <alignment vertical="center"/>
      <protection locked="0"/>
    </xf>
    <xf numFmtId="0" fontId="3" fillId="8" borderId="13" xfId="0" applyFont="1" applyFill="1" applyBorder="1" applyAlignment="1" applyProtection="1">
      <alignment vertical="center"/>
    </xf>
    <xf numFmtId="0" fontId="20" fillId="10" borderId="0" xfId="0" applyFont="1" applyFill="1" applyBorder="1" applyAlignment="1" applyProtection="1">
      <alignment vertical="center"/>
    </xf>
    <xf numFmtId="0" fontId="3" fillId="2" borderId="14" xfId="0" applyFont="1" applyFill="1" applyBorder="1" applyAlignment="1" applyProtection="1">
      <alignment vertical="center"/>
      <protection locked="0"/>
    </xf>
    <xf numFmtId="0" fontId="3" fillId="2" borderId="7" xfId="0" applyFont="1" applyFill="1" applyBorder="1" applyAlignment="1" applyProtection="1">
      <alignment vertical="center"/>
      <protection locked="0"/>
    </xf>
    <xf numFmtId="0" fontId="3" fillId="2" borderId="1" xfId="0" applyFont="1" applyFill="1" applyBorder="1" applyAlignment="1" applyProtection="1">
      <alignment vertical="center"/>
      <protection locked="0"/>
    </xf>
    <xf numFmtId="0" fontId="4" fillId="10" borderId="44" xfId="0" applyFont="1" applyFill="1" applyBorder="1" applyAlignment="1" applyProtection="1">
      <alignment vertical="center"/>
    </xf>
    <xf numFmtId="0" fontId="3" fillId="10" borderId="53" xfId="0" applyFont="1" applyFill="1" applyBorder="1" applyAlignment="1" applyProtection="1">
      <alignment vertical="center"/>
      <protection locked="0"/>
    </xf>
    <xf numFmtId="0" fontId="4" fillId="10" borderId="53" xfId="0" applyFont="1" applyFill="1" applyBorder="1" applyAlignment="1" applyProtection="1">
      <alignment vertical="center"/>
    </xf>
    <xf numFmtId="0" fontId="4" fillId="10" borderId="37" xfId="0" applyFont="1" applyFill="1" applyBorder="1" applyAlignment="1" applyProtection="1">
      <alignment vertical="center"/>
    </xf>
    <xf numFmtId="0" fontId="3" fillId="11" borderId="14" xfId="0" applyFont="1" applyFill="1" applyBorder="1" applyAlignment="1" applyProtection="1">
      <alignment vertical="center"/>
    </xf>
    <xf numFmtId="0" fontId="4" fillId="11" borderId="48" xfId="0" applyFont="1" applyFill="1" applyBorder="1" applyAlignment="1" applyProtection="1">
      <alignment vertical="center"/>
    </xf>
    <xf numFmtId="0" fontId="4" fillId="11" borderId="48" xfId="0" applyFont="1" applyFill="1" applyBorder="1" applyAlignment="1" applyProtection="1">
      <alignment vertical="center"/>
      <protection locked="0"/>
    </xf>
    <xf numFmtId="0" fontId="4" fillId="11" borderId="50" xfId="0" applyFont="1" applyFill="1" applyBorder="1" applyAlignment="1" applyProtection="1">
      <alignment vertical="center"/>
      <protection locked="0"/>
    </xf>
    <xf numFmtId="0" fontId="14" fillId="0" borderId="0" xfId="0" applyFont="1" applyFill="1" applyAlignment="1" applyProtection="1">
      <alignment vertical="center"/>
      <protection locked="0"/>
    </xf>
    <xf numFmtId="0" fontId="15" fillId="0" borderId="0" xfId="0" applyFont="1" applyFill="1" applyAlignment="1" applyProtection="1">
      <alignment vertical="center"/>
      <protection locked="0"/>
    </xf>
    <xf numFmtId="0" fontId="4" fillId="11" borderId="32" xfId="0" applyFont="1" applyFill="1" applyBorder="1" applyAlignment="1" applyProtection="1">
      <alignment vertical="center"/>
    </xf>
    <xf numFmtId="0" fontId="4" fillId="11" borderId="0" xfId="0" applyFont="1" applyFill="1" applyBorder="1" applyAlignment="1" applyProtection="1">
      <alignment vertical="center"/>
      <protection locked="0"/>
    </xf>
    <xf numFmtId="0" fontId="4" fillId="11" borderId="46" xfId="0" applyFont="1" applyFill="1" applyBorder="1" applyAlignment="1" applyProtection="1">
      <alignment vertical="center"/>
      <protection locked="0"/>
    </xf>
    <xf numFmtId="0" fontId="14" fillId="0" borderId="0" xfId="0" applyFont="1" applyFill="1" applyBorder="1" applyAlignment="1" applyProtection="1">
      <alignment vertical="center"/>
      <protection locked="0"/>
    </xf>
    <xf numFmtId="0" fontId="3" fillId="2" borderId="11" xfId="0" applyFont="1" applyFill="1" applyBorder="1" applyAlignment="1" applyProtection="1">
      <alignment vertical="center"/>
      <protection locked="0"/>
    </xf>
    <xf numFmtId="0" fontId="3" fillId="2" borderId="12" xfId="0" applyFont="1" applyFill="1" applyBorder="1" applyAlignment="1" applyProtection="1">
      <alignment vertical="center"/>
      <protection locked="0"/>
    </xf>
    <xf numFmtId="0" fontId="3" fillId="2" borderId="10" xfId="0" applyFont="1" applyFill="1" applyBorder="1" applyAlignment="1" applyProtection="1">
      <alignment vertical="center"/>
      <protection locked="0"/>
    </xf>
    <xf numFmtId="0" fontId="21" fillId="11" borderId="0" xfId="0" applyFont="1" applyFill="1" applyBorder="1" applyAlignment="1" applyProtection="1">
      <alignment vertical="center"/>
    </xf>
    <xf numFmtId="0" fontId="4" fillId="11" borderId="44" xfId="0" applyFont="1" applyFill="1" applyBorder="1" applyAlignment="1" applyProtection="1">
      <alignment vertical="center"/>
    </xf>
    <xf numFmtId="0" fontId="3" fillId="11" borderId="53" xfId="0" applyFont="1" applyFill="1" applyBorder="1" applyAlignment="1" applyProtection="1">
      <alignment vertical="center"/>
      <protection locked="0"/>
    </xf>
    <xf numFmtId="0" fontId="4" fillId="11" borderId="53" xfId="0" applyFont="1" applyFill="1" applyBorder="1" applyAlignment="1" applyProtection="1">
      <alignment vertical="center"/>
      <protection locked="0"/>
    </xf>
    <xf numFmtId="0" fontId="4" fillId="11" borderId="37" xfId="0" applyFont="1" applyFill="1" applyBorder="1" applyAlignment="1" applyProtection="1">
      <alignment vertical="center"/>
      <protection locked="0"/>
    </xf>
    <xf numFmtId="0" fontId="4" fillId="10" borderId="48" xfId="0" applyFont="1" applyFill="1" applyBorder="1" applyAlignment="1" applyProtection="1">
      <alignment vertical="center"/>
      <protection locked="0"/>
    </xf>
    <xf numFmtId="0" fontId="4" fillId="10" borderId="50" xfId="0" applyFont="1" applyFill="1" applyBorder="1" applyAlignment="1" applyProtection="1">
      <alignment vertical="center"/>
      <protection locked="0"/>
    </xf>
    <xf numFmtId="0" fontId="4" fillId="10" borderId="0" xfId="0" applyFont="1" applyFill="1" applyBorder="1" applyAlignment="1" applyProtection="1">
      <alignment vertical="center"/>
      <protection locked="0"/>
    </xf>
    <xf numFmtId="0" fontId="4" fillId="10" borderId="46" xfId="0" applyFont="1" applyFill="1" applyBorder="1" applyAlignment="1" applyProtection="1">
      <alignment vertical="center"/>
      <protection locked="0"/>
    </xf>
    <xf numFmtId="0" fontId="3" fillId="8" borderId="10" xfId="0" applyFont="1" applyFill="1" applyBorder="1" applyAlignment="1" applyProtection="1">
      <alignment vertical="center"/>
    </xf>
    <xf numFmtId="0" fontId="3" fillId="8" borderId="41" xfId="0" applyFont="1" applyFill="1" applyBorder="1" applyAlignment="1" applyProtection="1">
      <alignment vertical="center"/>
    </xf>
    <xf numFmtId="0" fontId="3" fillId="8" borderId="45" xfId="0" applyFont="1" applyFill="1" applyBorder="1" applyAlignment="1" applyProtection="1">
      <alignment vertical="center"/>
    </xf>
    <xf numFmtId="0" fontId="4" fillId="10" borderId="53" xfId="0" applyFont="1" applyFill="1" applyBorder="1" applyAlignment="1" applyProtection="1">
      <alignment vertical="center"/>
      <protection locked="0"/>
    </xf>
    <xf numFmtId="0" fontId="4" fillId="10" borderId="37" xfId="0" applyFont="1" applyFill="1" applyBorder="1" applyAlignment="1" applyProtection="1">
      <alignment vertical="center"/>
      <protection locked="0"/>
    </xf>
    <xf numFmtId="0" fontId="3" fillId="0" borderId="0" xfId="0" applyFont="1" applyFill="1" applyBorder="1" applyAlignment="1" applyProtection="1">
      <alignment vertical="center"/>
    </xf>
    <xf numFmtId="0" fontId="4" fillId="11" borderId="15" xfId="0" applyFont="1" applyFill="1" applyBorder="1" applyAlignment="1" applyProtection="1">
      <alignment vertical="center"/>
    </xf>
    <xf numFmtId="0" fontId="11" fillId="11" borderId="0" xfId="0" applyFont="1" applyFill="1" applyBorder="1" applyAlignment="1" applyProtection="1">
      <alignment vertical="center"/>
    </xf>
    <xf numFmtId="0" fontId="2" fillId="2" borderId="11" xfId="0" applyFont="1" applyFill="1" applyBorder="1" applyAlignment="1" applyProtection="1">
      <alignment vertical="center"/>
      <protection locked="0"/>
    </xf>
    <xf numFmtId="0" fontId="2" fillId="2" borderId="12" xfId="0" applyFont="1" applyFill="1" applyBorder="1" applyAlignment="1" applyProtection="1">
      <alignment vertical="center"/>
      <protection locked="0"/>
    </xf>
    <xf numFmtId="0" fontId="3" fillId="10" borderId="0" xfId="0" applyFont="1" applyFill="1" applyBorder="1" applyAlignment="1" applyProtection="1">
      <alignment vertical="center"/>
      <protection locked="0"/>
    </xf>
    <xf numFmtId="0" fontId="3" fillId="10" borderId="0" xfId="0" applyFont="1" applyFill="1" applyBorder="1" applyAlignment="1" applyProtection="1">
      <alignment vertical="center"/>
    </xf>
    <xf numFmtId="0" fontId="11" fillId="11" borderId="0" xfId="0" applyFont="1" applyFill="1" applyBorder="1" applyAlignment="1" applyProtection="1">
      <alignment horizontal="center" vertical="center"/>
    </xf>
    <xf numFmtId="0" fontId="5" fillId="11" borderId="0" xfId="0" applyFont="1" applyFill="1" applyBorder="1" applyAlignment="1" applyProtection="1">
      <alignment horizontal="center" vertical="center"/>
    </xf>
    <xf numFmtId="0" fontId="15" fillId="0" borderId="0" xfId="0" applyFont="1" applyFill="1" applyAlignment="1" applyProtection="1">
      <alignment vertical="center"/>
    </xf>
    <xf numFmtId="0" fontId="3" fillId="11" borderId="0" xfId="0" applyFont="1" applyFill="1" applyBorder="1" applyAlignment="1" applyProtection="1">
      <alignment vertical="center"/>
      <protection locked="0"/>
    </xf>
    <xf numFmtId="0" fontId="3" fillId="11" borderId="0" xfId="0" applyFont="1" applyFill="1" applyBorder="1" applyAlignment="1" applyProtection="1">
      <alignment vertical="center"/>
    </xf>
    <xf numFmtId="0" fontId="3" fillId="0" borderId="0" xfId="0" applyFont="1" applyFill="1" applyBorder="1" applyAlignment="1" applyProtection="1">
      <alignment horizontal="right" vertical="center"/>
    </xf>
    <xf numFmtId="0" fontId="3" fillId="0" borderId="0" xfId="0" applyFont="1" applyFill="1" applyAlignment="1" applyProtection="1">
      <alignment horizontal="left" vertical="center"/>
    </xf>
    <xf numFmtId="0" fontId="3" fillId="0" borderId="0" xfId="0" applyFont="1" applyFill="1" applyAlignment="1" applyProtection="1">
      <alignment horizontal="right" vertical="center"/>
    </xf>
    <xf numFmtId="0" fontId="9" fillId="0" borderId="0" xfId="0" applyFont="1" applyFill="1" applyAlignment="1" applyProtection="1">
      <alignment horizontal="right" vertical="center"/>
    </xf>
    <xf numFmtId="0" fontId="3" fillId="0" borderId="0" xfId="0" applyNumberFormat="1" applyFont="1" applyFill="1" applyBorder="1" applyAlignment="1" applyProtection="1">
      <alignment horizontal="right" vertical="center"/>
    </xf>
    <xf numFmtId="168" fontId="3" fillId="0" borderId="0" xfId="0" applyNumberFormat="1" applyFont="1" applyFill="1" applyBorder="1" applyAlignment="1" applyProtection="1">
      <alignment horizontal="right" vertical="center"/>
    </xf>
    <xf numFmtId="0" fontId="4" fillId="11" borderId="50" xfId="0" applyFont="1" applyFill="1" applyBorder="1" applyAlignment="1" applyProtection="1">
      <alignment vertical="center"/>
    </xf>
    <xf numFmtId="0" fontId="2" fillId="2" borderId="20" xfId="0" applyFont="1" applyFill="1" applyBorder="1" applyAlignment="1" applyProtection="1">
      <alignment vertical="center"/>
      <protection locked="0"/>
    </xf>
    <xf numFmtId="0" fontId="3" fillId="11" borderId="37" xfId="0" applyFont="1" applyFill="1" applyBorder="1" applyAlignment="1" applyProtection="1">
      <alignment vertical="center"/>
    </xf>
    <xf numFmtId="0" fontId="21" fillId="11" borderId="0" xfId="0" applyFont="1" applyFill="1" applyBorder="1" applyAlignment="1" applyProtection="1">
      <alignment vertical="center"/>
      <protection locked="0"/>
    </xf>
    <xf numFmtId="0" fontId="3" fillId="2" borderId="4" xfId="0" applyFont="1" applyFill="1" applyBorder="1" applyAlignment="1" applyProtection="1">
      <alignment vertical="center"/>
      <protection locked="0"/>
    </xf>
    <xf numFmtId="0" fontId="3" fillId="2" borderId="6" xfId="0" applyFont="1" applyFill="1" applyBorder="1" applyAlignment="1" applyProtection="1">
      <alignment vertical="center"/>
      <protection locked="0"/>
    </xf>
    <xf numFmtId="0" fontId="3" fillId="0" borderId="18" xfId="0" applyFont="1" applyFill="1" applyBorder="1" applyAlignment="1" applyProtection="1">
      <alignment vertical="center"/>
    </xf>
    <xf numFmtId="0" fontId="3" fillId="2" borderId="18" xfId="0" applyFont="1" applyFill="1" applyBorder="1" applyAlignment="1" applyProtection="1">
      <alignment vertical="center"/>
      <protection locked="0"/>
    </xf>
    <xf numFmtId="0" fontId="3" fillId="0" borderId="13" xfId="0" applyFont="1" applyFill="1" applyBorder="1" applyAlignment="1" applyProtection="1">
      <alignment vertical="center"/>
    </xf>
    <xf numFmtId="165" fontId="4" fillId="0" borderId="18" xfId="0" applyNumberFormat="1" applyFont="1" applyBorder="1" applyAlignment="1" applyProtection="1">
      <alignment vertical="center"/>
    </xf>
    <xf numFmtId="165" fontId="4" fillId="0" borderId="13" xfId="0" applyNumberFormat="1" applyFont="1" applyBorder="1" applyAlignment="1" applyProtection="1">
      <alignment vertical="center"/>
    </xf>
    <xf numFmtId="0" fontId="4" fillId="12" borderId="14" xfId="0" applyFont="1" applyFill="1" applyBorder="1" applyAlignment="1" applyProtection="1">
      <alignment vertical="center"/>
      <protection locked="0"/>
    </xf>
    <xf numFmtId="0" fontId="4" fillId="12" borderId="48" xfId="0" applyFont="1" applyFill="1" applyBorder="1" applyAlignment="1" applyProtection="1">
      <alignment vertical="center"/>
    </xf>
    <xf numFmtId="0" fontId="5" fillId="12" borderId="48" xfId="0" applyFont="1" applyFill="1" applyBorder="1" applyAlignment="1" applyProtection="1">
      <alignment vertical="center"/>
    </xf>
    <xf numFmtId="0" fontId="6" fillId="12" borderId="48" xfId="0" applyFont="1" applyFill="1" applyBorder="1" applyAlignment="1" applyProtection="1">
      <alignment vertical="center"/>
    </xf>
    <xf numFmtId="0" fontId="4" fillId="12" borderId="0" xfId="0" applyFont="1" applyFill="1" applyBorder="1" applyAlignment="1" applyProtection="1">
      <alignment vertical="center"/>
    </xf>
    <xf numFmtId="0" fontId="4" fillId="12" borderId="50" xfId="0" applyFont="1" applyFill="1" applyBorder="1" applyAlignment="1" applyProtection="1">
      <alignment vertical="center"/>
    </xf>
    <xf numFmtId="0" fontId="11" fillId="3" borderId="0" xfId="0" applyFont="1" applyFill="1" applyAlignment="1" applyProtection="1">
      <alignment vertical="center"/>
    </xf>
    <xf numFmtId="0" fontId="4" fillId="12" borderId="32" xfId="0" applyFont="1" applyFill="1" applyBorder="1" applyAlignment="1" applyProtection="1">
      <alignment vertical="center"/>
    </xf>
    <xf numFmtId="0" fontId="5" fillId="12" borderId="0" xfId="0" applyFont="1" applyFill="1" applyBorder="1" applyAlignment="1" applyProtection="1">
      <alignment vertical="center"/>
    </xf>
    <xf numFmtId="0" fontId="4" fillId="12" borderId="46" xfId="0" applyFont="1" applyFill="1" applyBorder="1" applyAlignment="1" applyProtection="1">
      <alignment vertical="center"/>
    </xf>
    <xf numFmtId="0" fontId="7" fillId="12" borderId="0" xfId="0" applyFont="1" applyFill="1" applyBorder="1" applyAlignment="1" applyProtection="1">
      <alignment vertical="center"/>
    </xf>
    <xf numFmtId="0" fontId="11" fillId="12" borderId="0" xfId="0" applyFont="1" applyFill="1" applyBorder="1" applyAlignment="1" applyProtection="1">
      <alignment vertical="center"/>
    </xf>
    <xf numFmtId="0" fontId="3" fillId="12" borderId="0" xfId="0" applyFont="1" applyFill="1" applyBorder="1" applyAlignment="1" applyProtection="1">
      <alignment horizontal="center" vertical="center"/>
    </xf>
    <xf numFmtId="0" fontId="4" fillId="12" borderId="37" xfId="0" applyFont="1" applyFill="1" applyBorder="1" applyAlignment="1" applyProtection="1">
      <alignment vertical="center"/>
    </xf>
    <xf numFmtId="165" fontId="4" fillId="12" borderId="0" xfId="0" applyNumberFormat="1" applyFont="1" applyFill="1" applyBorder="1" applyAlignment="1" applyProtection="1">
      <alignment vertical="center"/>
    </xf>
    <xf numFmtId="0" fontId="3" fillId="13" borderId="10" xfId="0" applyFont="1" applyFill="1" applyBorder="1" applyAlignment="1" applyProtection="1">
      <alignment vertical="center"/>
    </xf>
    <xf numFmtId="164" fontId="4" fillId="13" borderId="6" xfId="0" applyNumberFormat="1" applyFont="1" applyFill="1" applyBorder="1" applyAlignment="1" applyProtection="1">
      <alignment vertical="center"/>
      <protection locked="0"/>
    </xf>
    <xf numFmtId="165" fontId="4" fillId="13" borderId="10" xfId="0" applyNumberFormat="1" applyFont="1" applyFill="1" applyBorder="1" applyAlignment="1" applyProtection="1">
      <alignment vertical="center"/>
    </xf>
    <xf numFmtId="0" fontId="3" fillId="0" borderId="11" xfId="0" applyFont="1" applyFill="1" applyBorder="1" applyAlignment="1" applyProtection="1">
      <alignment vertical="center"/>
    </xf>
    <xf numFmtId="164" fontId="4" fillId="0" borderId="4" xfId="0" applyNumberFormat="1" applyFont="1" applyFill="1" applyBorder="1" applyAlignment="1" applyProtection="1">
      <alignment vertical="center"/>
      <protection locked="0"/>
    </xf>
    <xf numFmtId="0" fontId="3" fillId="13" borderId="11" xfId="0" applyFont="1" applyFill="1" applyBorder="1" applyAlignment="1" applyProtection="1">
      <alignment vertical="center"/>
    </xf>
    <xf numFmtId="164" fontId="4" fillId="13" borderId="4" xfId="0" applyNumberFormat="1" applyFont="1" applyFill="1" applyBorder="1" applyAlignment="1" applyProtection="1">
      <alignment vertical="center"/>
      <protection locked="0"/>
    </xf>
    <xf numFmtId="165" fontId="4" fillId="13" borderId="18" xfId="0" applyNumberFormat="1" applyFont="1" applyFill="1" applyBorder="1" applyAlignment="1" applyProtection="1">
      <alignment vertical="center"/>
    </xf>
    <xf numFmtId="166" fontId="4" fillId="13" borderId="4" xfId="0" applyNumberFormat="1" applyFont="1" applyFill="1" applyBorder="1" applyAlignment="1" applyProtection="1">
      <alignment vertical="center"/>
    </xf>
    <xf numFmtId="166" fontId="4" fillId="3" borderId="4" xfId="0" applyNumberFormat="1" applyFont="1" applyFill="1" applyBorder="1" applyAlignment="1" applyProtection="1">
      <alignment vertical="center"/>
    </xf>
    <xf numFmtId="0" fontId="3" fillId="13" borderId="18" xfId="0" applyFont="1" applyFill="1" applyBorder="1" applyAlignment="1" applyProtection="1">
      <alignment vertical="center"/>
    </xf>
    <xf numFmtId="167" fontId="4" fillId="13" borderId="4" xfId="0" applyNumberFormat="1" applyFont="1" applyFill="1" applyBorder="1" applyAlignment="1" applyProtection="1">
      <alignment vertical="center"/>
    </xf>
    <xf numFmtId="0" fontId="3" fillId="0" borderId="12" xfId="0" applyFont="1" applyFill="1" applyBorder="1" applyAlignment="1" applyProtection="1">
      <alignment vertical="center"/>
    </xf>
    <xf numFmtId="0" fontId="3" fillId="13" borderId="12" xfId="0" applyFont="1" applyFill="1" applyBorder="1" applyAlignment="1" applyProtection="1">
      <alignment vertical="center"/>
    </xf>
    <xf numFmtId="0" fontId="4" fillId="12" borderId="0" xfId="0" applyFont="1" applyFill="1" applyBorder="1" applyAlignment="1" applyProtection="1">
      <alignment horizontal="left" vertical="center"/>
    </xf>
    <xf numFmtId="0" fontId="23" fillId="5" borderId="0" xfId="0" applyFont="1" applyFill="1" applyBorder="1" applyAlignment="1" applyProtection="1">
      <alignment vertical="center"/>
    </xf>
    <xf numFmtId="164" fontId="4" fillId="13" borderId="17" xfId="0" applyNumberFormat="1" applyFont="1" applyFill="1" applyBorder="1" applyAlignment="1" applyProtection="1">
      <alignment vertical="center"/>
      <protection locked="0"/>
    </xf>
    <xf numFmtId="164" fontId="4" fillId="0" borderId="17" xfId="0" applyNumberFormat="1" applyFont="1" applyFill="1" applyBorder="1" applyAlignment="1" applyProtection="1">
      <alignment vertical="center"/>
      <protection locked="0"/>
    </xf>
    <xf numFmtId="164" fontId="4" fillId="0" borderId="7" xfId="0" applyNumberFormat="1" applyFont="1" applyFill="1" applyBorder="1" applyAlignment="1" applyProtection="1">
      <alignment vertical="center"/>
      <protection locked="0"/>
    </xf>
    <xf numFmtId="0" fontId="3" fillId="12" borderId="0" xfId="0" applyFont="1" applyFill="1" applyBorder="1" applyAlignment="1" applyProtection="1">
      <alignment vertical="center"/>
    </xf>
    <xf numFmtId="0" fontId="4" fillId="12" borderId="0" xfId="0" applyNumberFormat="1" applyFont="1" applyFill="1" applyBorder="1" applyAlignment="1" applyProtection="1">
      <alignment vertical="center"/>
    </xf>
    <xf numFmtId="164" fontId="4" fillId="12" borderId="0" xfId="0" applyNumberFormat="1" applyFont="1" applyFill="1" applyBorder="1" applyAlignment="1" applyProtection="1">
      <alignment vertical="center"/>
    </xf>
    <xf numFmtId="0" fontId="4" fillId="12" borderId="0" xfId="0" applyFont="1" applyFill="1" applyBorder="1" applyAlignment="1" applyProtection="1">
      <alignment vertical="center"/>
      <protection locked="0"/>
    </xf>
    <xf numFmtId="0" fontId="10" fillId="12" borderId="0" xfId="0" applyFont="1" applyFill="1" applyBorder="1" applyAlignment="1" applyProtection="1">
      <alignment vertical="center"/>
    </xf>
    <xf numFmtId="165" fontId="3" fillId="0" borderId="1" xfId="0" applyNumberFormat="1" applyFont="1" applyBorder="1" applyAlignment="1" applyProtection="1">
      <alignment vertical="center"/>
    </xf>
    <xf numFmtId="0" fontId="4" fillId="0" borderId="0" xfId="0" applyFont="1" applyFill="1" applyBorder="1" applyAlignment="1" applyProtection="1">
      <alignment horizontal="right" vertical="center"/>
    </xf>
    <xf numFmtId="0" fontId="11" fillId="0" borderId="0" xfId="0" applyFont="1" applyFill="1" applyBorder="1" applyAlignment="1" applyProtection="1">
      <alignment vertical="center"/>
    </xf>
    <xf numFmtId="165" fontId="3" fillId="9" borderId="0" xfId="0" applyNumberFormat="1" applyFont="1" applyFill="1" applyBorder="1" applyAlignment="1" applyProtection="1">
      <alignment horizontal="left" vertical="center"/>
    </xf>
    <xf numFmtId="0" fontId="4" fillId="9" borderId="0" xfId="0" applyFont="1" applyFill="1" applyBorder="1" applyAlignment="1" applyProtection="1">
      <alignment vertical="center"/>
    </xf>
    <xf numFmtId="0" fontId="11" fillId="9" borderId="0" xfId="0" applyFont="1" applyFill="1" applyBorder="1" applyAlignment="1" applyProtection="1">
      <alignment vertical="center"/>
    </xf>
    <xf numFmtId="0" fontId="4" fillId="12" borderId="0" xfId="0" applyFont="1" applyFill="1" applyBorder="1" applyAlignment="1" applyProtection="1">
      <alignment horizontal="right" vertical="center"/>
      <protection locked="0"/>
    </xf>
    <xf numFmtId="0" fontId="4" fillId="12" borderId="0" xfId="0" applyFont="1" applyFill="1" applyBorder="1" applyAlignment="1" applyProtection="1">
      <alignment horizontal="right" vertical="center"/>
    </xf>
    <xf numFmtId="169" fontId="4" fillId="3" borderId="0" xfId="0" applyNumberFormat="1" applyFont="1" applyFill="1" applyBorder="1" applyAlignment="1" applyProtection="1">
      <alignment horizontal="right" vertical="center"/>
    </xf>
    <xf numFmtId="165" fontId="6" fillId="0" borderId="0" xfId="0" applyNumberFormat="1" applyFont="1" applyFill="1" applyBorder="1" applyAlignment="1" applyProtection="1">
      <alignment horizontal="left" vertical="center"/>
    </xf>
    <xf numFmtId="0" fontId="5" fillId="12" borderId="0" xfId="0" applyFont="1" applyFill="1" applyBorder="1" applyAlignment="1" applyProtection="1">
      <alignment horizontal="right" vertical="center"/>
    </xf>
    <xf numFmtId="0" fontId="4" fillId="12" borderId="44" xfId="0" applyFont="1" applyFill="1" applyBorder="1" applyAlignment="1" applyProtection="1">
      <alignment vertical="center"/>
    </xf>
    <xf numFmtId="0" fontId="4" fillId="12" borderId="53" xfId="0" applyFont="1" applyFill="1" applyBorder="1" applyAlignment="1" applyProtection="1">
      <alignment vertical="center"/>
    </xf>
    <xf numFmtId="0" fontId="5" fillId="3" borderId="0" xfId="0" applyFont="1" applyFill="1" applyBorder="1" applyAlignment="1" applyProtection="1">
      <alignment vertical="center"/>
    </xf>
    <xf numFmtId="0" fontId="4" fillId="15" borderId="32" xfId="0" applyFont="1" applyFill="1" applyBorder="1" applyAlignment="1" applyProtection="1">
      <alignment vertical="center"/>
    </xf>
    <xf numFmtId="0" fontId="4" fillId="15" borderId="0" xfId="0" applyFont="1" applyFill="1" applyBorder="1" applyAlignment="1" applyProtection="1">
      <alignment vertical="center"/>
    </xf>
    <xf numFmtId="0" fontId="4" fillId="15" borderId="46" xfId="0" applyFont="1" applyFill="1" applyBorder="1" applyAlignment="1" applyProtection="1">
      <alignment vertical="center"/>
    </xf>
    <xf numFmtId="0" fontId="4" fillId="15" borderId="44" xfId="0" applyFont="1" applyFill="1" applyBorder="1" applyAlignment="1" applyProtection="1">
      <alignment vertical="center"/>
    </xf>
    <xf numFmtId="0" fontId="4" fillId="15" borderId="53" xfId="0" applyFont="1" applyFill="1" applyBorder="1" applyAlignment="1" applyProtection="1">
      <alignment vertical="center"/>
    </xf>
    <xf numFmtId="0" fontId="4" fillId="15" borderId="37" xfId="0" applyFont="1" applyFill="1" applyBorder="1" applyAlignment="1" applyProtection="1">
      <alignment vertical="center"/>
    </xf>
    <xf numFmtId="0" fontId="3" fillId="2" borderId="1" xfId="0" applyFont="1" applyFill="1" applyBorder="1" applyAlignment="1" applyProtection="1">
      <alignment horizontal="center" vertical="center"/>
      <protection locked="0"/>
    </xf>
    <xf numFmtId="0" fontId="3" fillId="2" borderId="1" xfId="0" applyFont="1" applyFill="1" applyBorder="1" applyAlignment="1" applyProtection="1">
      <alignment horizontal="center" vertical="center"/>
      <protection locked="0"/>
    </xf>
    <xf numFmtId="0" fontId="8" fillId="4" borderId="9" xfId="1" applyFont="1" applyFill="1" applyBorder="1" applyAlignment="1" applyProtection="1">
      <alignment vertical="center"/>
      <protection locked="0"/>
    </xf>
    <xf numFmtId="0" fontId="4" fillId="0" borderId="0" xfId="0" applyFont="1" applyFill="1" applyProtection="1"/>
    <xf numFmtId="0" fontId="3" fillId="2" borderId="13" xfId="0" applyFont="1" applyFill="1" applyBorder="1" applyAlignment="1" applyProtection="1">
      <alignment vertical="center"/>
      <protection locked="0"/>
    </xf>
    <xf numFmtId="0" fontId="4" fillId="12" borderId="0" xfId="0" applyFont="1" applyFill="1" applyBorder="1" applyAlignment="1" applyProtection="1">
      <alignment horizontal="right"/>
    </xf>
    <xf numFmtId="0" fontId="3" fillId="10" borderId="0" xfId="0" applyFont="1" applyFill="1" applyBorder="1" applyAlignment="1" applyProtection="1">
      <alignment horizontal="center" vertical="center" wrapText="1"/>
    </xf>
    <xf numFmtId="0" fontId="3" fillId="11" borderId="0" xfId="0" applyFont="1" applyFill="1" applyBorder="1" applyAlignment="1" applyProtection="1">
      <alignment horizontal="center" vertical="center" wrapText="1"/>
    </xf>
    <xf numFmtId="0" fontId="3" fillId="2" borderId="20" xfId="0" applyFont="1" applyFill="1" applyBorder="1" applyAlignment="1" applyProtection="1">
      <alignment vertical="center"/>
      <protection locked="0"/>
    </xf>
    <xf numFmtId="0" fontId="2" fillId="2" borderId="6" xfId="0" applyFont="1" applyFill="1" applyBorder="1" applyAlignment="1" applyProtection="1">
      <alignment vertical="center"/>
      <protection locked="0"/>
    </xf>
    <xf numFmtId="0" fontId="2" fillId="2" borderId="17" xfId="0" applyFont="1" applyFill="1" applyBorder="1" applyAlignment="1" applyProtection="1">
      <alignment vertical="center"/>
      <protection locked="0"/>
    </xf>
    <xf numFmtId="0" fontId="2" fillId="2" borderId="7" xfId="0" applyFont="1" applyFill="1" applyBorder="1" applyAlignment="1" applyProtection="1">
      <alignment vertical="center"/>
      <protection locked="0"/>
    </xf>
    <xf numFmtId="0" fontId="3" fillId="14" borderId="16" xfId="0" applyFont="1" applyFill="1" applyBorder="1" applyAlignment="1" applyProtection="1">
      <alignment horizontal="center" vertical="center" wrapText="1"/>
    </xf>
    <xf numFmtId="0" fontId="4" fillId="13" borderId="1" xfId="0" applyNumberFormat="1" applyFont="1" applyFill="1" applyBorder="1" applyAlignment="1" applyProtection="1">
      <alignment horizontal="center" vertical="center"/>
    </xf>
    <xf numFmtId="0" fontId="4" fillId="0" borderId="1" xfId="0" applyNumberFormat="1" applyFont="1" applyFill="1" applyBorder="1" applyAlignment="1" applyProtection="1">
      <alignment horizontal="center" vertical="center"/>
    </xf>
    <xf numFmtId="0" fontId="4" fillId="13" borderId="6" xfId="0" applyNumberFormat="1" applyFont="1" applyFill="1" applyBorder="1" applyAlignment="1" applyProtection="1">
      <alignment horizontal="center" vertical="center"/>
    </xf>
    <xf numFmtId="0" fontId="4" fillId="13" borderId="55" xfId="0" applyNumberFormat="1" applyFont="1" applyFill="1" applyBorder="1" applyAlignment="1" applyProtection="1">
      <alignment horizontal="center" vertical="center"/>
    </xf>
    <xf numFmtId="0" fontId="4" fillId="13" borderId="56" xfId="0" applyNumberFormat="1" applyFont="1" applyFill="1" applyBorder="1" applyAlignment="1" applyProtection="1">
      <alignment horizontal="center" vertical="center"/>
    </xf>
    <xf numFmtId="0" fontId="4" fillId="0" borderId="17" xfId="0" applyNumberFormat="1" applyFont="1" applyFill="1" applyBorder="1" applyAlignment="1" applyProtection="1">
      <alignment horizontal="center" vertical="center"/>
    </xf>
    <xf numFmtId="0" fontId="4" fillId="0" borderId="27" xfId="0" applyNumberFormat="1" applyFont="1" applyFill="1" applyBorder="1" applyAlignment="1" applyProtection="1">
      <alignment horizontal="center" vertical="center"/>
    </xf>
    <xf numFmtId="0" fontId="4" fillId="13" borderId="17" xfId="0" applyNumberFormat="1" applyFont="1" applyFill="1" applyBorder="1" applyAlignment="1" applyProtection="1">
      <alignment horizontal="center" vertical="center"/>
    </xf>
    <xf numFmtId="0" fontId="4" fillId="13" borderId="27" xfId="0" applyNumberFormat="1" applyFont="1" applyFill="1" applyBorder="1" applyAlignment="1" applyProtection="1">
      <alignment horizontal="center" vertical="center"/>
    </xf>
    <xf numFmtId="0" fontId="4" fillId="0" borderId="7" xfId="0" applyNumberFormat="1" applyFont="1" applyFill="1" applyBorder="1" applyAlignment="1" applyProtection="1">
      <alignment horizontal="center" vertical="center"/>
    </xf>
    <xf numFmtId="0" fontId="4" fillId="0" borderId="31" xfId="0" applyNumberFormat="1" applyFont="1" applyFill="1" applyBorder="1" applyAlignment="1" applyProtection="1">
      <alignment horizontal="center" vertical="center"/>
    </xf>
    <xf numFmtId="0" fontId="4" fillId="0" borderId="23" xfId="0" applyNumberFormat="1" applyFont="1" applyFill="1" applyBorder="1" applyAlignment="1" applyProtection="1">
      <alignment horizontal="center" vertical="center"/>
    </xf>
    <xf numFmtId="0" fontId="4" fillId="3" borderId="14" xfId="0" applyFont="1" applyFill="1" applyBorder="1" applyAlignment="1" applyProtection="1">
      <alignment horizontal="center" vertical="center" wrapText="1"/>
    </xf>
    <xf numFmtId="0" fontId="4" fillId="3" borderId="20" xfId="0" applyFont="1" applyFill="1" applyBorder="1" applyAlignment="1" applyProtection="1">
      <alignment horizontal="center" vertical="center" wrapText="1"/>
    </xf>
    <xf numFmtId="0" fontId="3" fillId="5" borderId="1" xfId="0" applyFont="1" applyFill="1" applyBorder="1" applyAlignment="1" applyProtection="1"/>
    <xf numFmtId="0" fontId="3" fillId="2" borderId="1" xfId="0" applyFont="1" applyFill="1" applyBorder="1" applyAlignment="1" applyProtection="1">
      <alignment horizontal="center"/>
      <protection locked="0"/>
    </xf>
    <xf numFmtId="170" fontId="4" fillId="0" borderId="26" xfId="0" applyNumberFormat="1" applyFont="1" applyFill="1" applyBorder="1" applyAlignment="1" applyProtection="1">
      <alignment horizontal="center" vertical="center"/>
    </xf>
    <xf numFmtId="170" fontId="4" fillId="13" borderId="26" xfId="0" applyNumberFormat="1" applyFont="1" applyFill="1" applyBorder="1" applyAlignment="1" applyProtection="1">
      <alignment horizontal="center" vertical="center"/>
    </xf>
    <xf numFmtId="170" fontId="4" fillId="0" borderId="33" xfId="0" applyNumberFormat="1" applyFont="1" applyFill="1" applyBorder="1" applyAlignment="1" applyProtection="1">
      <alignment horizontal="center" vertical="center"/>
    </xf>
    <xf numFmtId="170" fontId="4" fillId="13" borderId="33" xfId="0" applyNumberFormat="1" applyFont="1" applyFill="1" applyBorder="1" applyAlignment="1" applyProtection="1">
      <alignment horizontal="center" vertical="center"/>
    </xf>
    <xf numFmtId="170" fontId="4" fillId="0" borderId="28" xfId="0" applyNumberFormat="1" applyFont="1" applyFill="1" applyBorder="1" applyAlignment="1" applyProtection="1">
      <alignment horizontal="center" vertical="center"/>
    </xf>
    <xf numFmtId="170" fontId="4" fillId="0" borderId="1" xfId="0" applyNumberFormat="1" applyFont="1" applyFill="1" applyBorder="1" applyAlignment="1" applyProtection="1">
      <alignment horizontal="center" vertical="center"/>
    </xf>
    <xf numFmtId="170" fontId="4" fillId="0" borderId="27" xfId="0" applyNumberFormat="1" applyFont="1" applyFill="1" applyBorder="1" applyAlignment="1" applyProtection="1">
      <alignment horizontal="center" vertical="center"/>
    </xf>
    <xf numFmtId="170" fontId="4" fillId="13" borderId="1" xfId="0" applyNumberFormat="1" applyFont="1" applyFill="1" applyBorder="1" applyAlignment="1" applyProtection="1">
      <alignment horizontal="center" vertical="center"/>
    </xf>
    <xf numFmtId="170" fontId="4" fillId="13" borderId="27" xfId="0" applyNumberFormat="1" applyFont="1" applyFill="1" applyBorder="1" applyAlignment="1" applyProtection="1">
      <alignment horizontal="center" vertical="center"/>
    </xf>
    <xf numFmtId="170" fontId="4" fillId="0" borderId="2" xfId="0" applyNumberFormat="1" applyFont="1" applyFill="1" applyBorder="1" applyAlignment="1" applyProtection="1">
      <alignment horizontal="center" vertical="center"/>
    </xf>
    <xf numFmtId="170" fontId="4" fillId="0" borderId="22" xfId="0" applyNumberFormat="1" applyFont="1" applyFill="1" applyBorder="1" applyAlignment="1" applyProtection="1">
      <alignment horizontal="center" vertical="center"/>
    </xf>
    <xf numFmtId="170" fontId="4" fillId="13" borderId="2" xfId="0" applyNumberFormat="1" applyFont="1" applyFill="1" applyBorder="1" applyAlignment="1" applyProtection="1">
      <alignment horizontal="center" vertical="center"/>
    </xf>
    <xf numFmtId="170" fontId="4" fillId="13" borderId="22" xfId="0" applyNumberFormat="1" applyFont="1" applyFill="1" applyBorder="1" applyAlignment="1" applyProtection="1">
      <alignment horizontal="center" vertical="center"/>
    </xf>
    <xf numFmtId="170" fontId="4" fillId="0" borderId="31" xfId="0" applyNumberFormat="1" applyFont="1" applyFill="1" applyBorder="1" applyAlignment="1" applyProtection="1">
      <alignment horizontal="center" vertical="center"/>
    </xf>
    <xf numFmtId="170" fontId="4" fillId="0" borderId="23" xfId="0" applyNumberFormat="1" applyFont="1" applyFill="1" applyBorder="1" applyAlignment="1" applyProtection="1">
      <alignment horizontal="center" vertical="center"/>
    </xf>
    <xf numFmtId="0" fontId="3" fillId="2" borderId="1" xfId="0" applyFont="1" applyFill="1" applyBorder="1" applyAlignment="1" applyProtection="1">
      <alignment horizontal="center" vertical="center"/>
      <protection locked="0"/>
    </xf>
    <xf numFmtId="0" fontId="3" fillId="2" borderId="1" xfId="0" applyFont="1" applyFill="1" applyBorder="1" applyAlignment="1" applyProtection="1">
      <alignment horizontal="center" vertical="center"/>
      <protection locked="0"/>
    </xf>
    <xf numFmtId="170" fontId="4" fillId="13" borderId="34" xfId="0" applyNumberFormat="1" applyFont="1" applyFill="1" applyBorder="1" applyAlignment="1" applyProtection="1">
      <alignment horizontal="center" vertical="center"/>
    </xf>
    <xf numFmtId="170" fontId="4" fillId="13" borderId="19" xfId="0" applyNumberFormat="1" applyFont="1" applyFill="1" applyBorder="1" applyAlignment="1" applyProtection="1">
      <alignment horizontal="center" vertical="center"/>
    </xf>
    <xf numFmtId="170" fontId="4" fillId="13" borderId="51" xfId="0" applyNumberFormat="1" applyFont="1" applyFill="1" applyBorder="1" applyAlignment="1" applyProtection="1">
      <alignment horizontal="center" vertical="center"/>
    </xf>
    <xf numFmtId="0" fontId="4" fillId="3" borderId="21" xfId="0" applyFont="1" applyFill="1" applyBorder="1" applyAlignment="1" applyProtection="1">
      <alignment horizontal="center" vertical="center" wrapText="1"/>
    </xf>
    <xf numFmtId="0" fontId="18" fillId="0" borderId="0" xfId="0" applyFont="1" applyFill="1" applyProtection="1"/>
    <xf numFmtId="0" fontId="18" fillId="0" borderId="0" xfId="0" applyFont="1" applyFill="1" applyBorder="1" applyProtection="1"/>
    <xf numFmtId="0" fontId="17" fillId="0" borderId="0" xfId="0" applyFont="1" applyFill="1" applyBorder="1" applyProtection="1"/>
    <xf numFmtId="0" fontId="18" fillId="0" borderId="0" xfId="0" applyFont="1" applyFill="1" applyBorder="1" applyAlignment="1" applyProtection="1">
      <alignment horizontal="center"/>
    </xf>
    <xf numFmtId="0" fontId="16" fillId="0" borderId="1" xfId="0" applyFont="1" applyFill="1" applyBorder="1" applyProtection="1"/>
    <xf numFmtId="0" fontId="18" fillId="0" borderId="0" xfId="0" applyFont="1" applyFill="1" applyAlignment="1" applyProtection="1">
      <alignment horizontal="left"/>
    </xf>
    <xf numFmtId="0" fontId="18" fillId="0" borderId="0" xfId="0" applyFont="1" applyFill="1" applyAlignment="1" applyProtection="1">
      <alignment horizontal="right"/>
    </xf>
    <xf numFmtId="0" fontId="16" fillId="0" borderId="0" xfId="0" applyFont="1" applyFill="1" applyProtection="1"/>
    <xf numFmtId="0" fontId="27" fillId="0" borderId="1" xfId="0" applyFont="1" applyFill="1" applyBorder="1" applyProtection="1"/>
    <xf numFmtId="0" fontId="16" fillId="0" borderId="1" xfId="0" applyFont="1" applyFill="1" applyBorder="1" applyAlignment="1" applyProtection="1">
      <alignment horizontal="center"/>
    </xf>
    <xf numFmtId="0" fontId="16" fillId="0" borderId="0" xfId="0" applyFont="1" applyFill="1" applyAlignment="1" applyProtection="1">
      <alignment horizontal="center"/>
    </xf>
    <xf numFmtId="0" fontId="16" fillId="0" borderId="0" xfId="0" applyFont="1" applyFill="1" applyAlignment="1" applyProtection="1">
      <alignment horizontal="left"/>
    </xf>
    <xf numFmtId="0" fontId="18" fillId="0" borderId="0" xfId="0" applyFont="1" applyFill="1" applyAlignment="1" applyProtection="1">
      <alignment horizontal="center"/>
    </xf>
    <xf numFmtId="0" fontId="27" fillId="0" borderId="0" xfId="0" applyFont="1" applyFill="1" applyBorder="1" applyProtection="1"/>
    <xf numFmtId="0" fontId="27" fillId="0" borderId="2" xfId="0" applyFont="1" applyFill="1" applyBorder="1" applyProtection="1"/>
    <xf numFmtId="0" fontId="17" fillId="0" borderId="0" xfId="0" applyFont="1" applyFill="1" applyBorder="1" applyAlignment="1" applyProtection="1">
      <alignment horizontal="left"/>
    </xf>
    <xf numFmtId="0" fontId="16" fillId="0" borderId="0" xfId="0" applyFont="1" applyFill="1" applyBorder="1" applyProtection="1"/>
    <xf numFmtId="0" fontId="22" fillId="0" borderId="0" xfId="0" applyFont="1" applyFill="1" applyProtection="1"/>
    <xf numFmtId="0" fontId="18" fillId="0" borderId="0" xfId="0" applyFont="1" applyFill="1" applyBorder="1" applyAlignment="1" applyProtection="1"/>
    <xf numFmtId="0" fontId="18" fillId="0" borderId="0" xfId="0" applyFont="1" applyFill="1" applyBorder="1" applyAlignment="1" applyProtection="1">
      <alignment horizontal="left"/>
    </xf>
    <xf numFmtId="0" fontId="16" fillId="0" borderId="1" xfId="0" applyFont="1" applyFill="1" applyBorder="1" applyAlignment="1" applyProtection="1"/>
    <xf numFmtId="0" fontId="16" fillId="0" borderId="0" xfId="0" applyFont="1" applyFill="1" applyAlignment="1" applyProtection="1"/>
    <xf numFmtId="0" fontId="16" fillId="0" borderId="2" xfId="0" applyFont="1" applyFill="1" applyBorder="1" applyProtection="1"/>
    <xf numFmtId="0" fontId="18" fillId="0" borderId="3" xfId="0" applyFont="1" applyFill="1" applyBorder="1" applyProtection="1"/>
    <xf numFmtId="0" fontId="18" fillId="0" borderId="15" xfId="0" applyFont="1" applyFill="1" applyBorder="1" applyProtection="1"/>
    <xf numFmtId="0" fontId="16" fillId="0" borderId="15" xfId="0" applyFont="1" applyFill="1" applyBorder="1" applyProtection="1"/>
    <xf numFmtId="0" fontId="27" fillId="0" borderId="0" xfId="0" applyFont="1" applyFill="1" applyProtection="1"/>
    <xf numFmtId="0" fontId="16" fillId="0" borderId="1" xfId="0" applyFont="1" applyFill="1" applyBorder="1" applyAlignment="1" applyProtection="1">
      <alignment horizontal="right"/>
    </xf>
    <xf numFmtId="16" fontId="18" fillId="0" borderId="0" xfId="0" applyNumberFormat="1" applyFont="1" applyFill="1" applyProtection="1"/>
    <xf numFmtId="0" fontId="18" fillId="0" borderId="0" xfId="0" applyFont="1" applyFill="1" applyBorder="1" applyAlignment="1" applyProtection="1">
      <alignment vertical="center"/>
    </xf>
    <xf numFmtId="0" fontId="18" fillId="0" borderId="0" xfId="0" applyFont="1" applyFill="1" applyAlignment="1" applyProtection="1"/>
    <xf numFmtId="0" fontId="18" fillId="0" borderId="0" xfId="0" applyFont="1" applyFill="1" applyAlignment="1" applyProtection="1">
      <alignment wrapText="1"/>
    </xf>
    <xf numFmtId="0" fontId="18" fillId="0" borderId="0" xfId="0" applyNumberFormat="1" applyFont="1" applyFill="1" applyProtection="1"/>
    <xf numFmtId="9" fontId="18" fillId="0" borderId="0" xfId="0" applyNumberFormat="1" applyFont="1" applyFill="1" applyBorder="1" applyAlignment="1" applyProtection="1">
      <alignment horizontal="center"/>
    </xf>
    <xf numFmtId="0" fontId="16" fillId="0" borderId="19" xfId="0" applyFont="1" applyFill="1" applyBorder="1" applyProtection="1"/>
    <xf numFmtId="16" fontId="16" fillId="0" borderId="1" xfId="0" quotePrefix="1" applyNumberFormat="1" applyFont="1" applyFill="1" applyBorder="1" applyProtection="1"/>
    <xf numFmtId="17" fontId="16" fillId="0" borderId="1" xfId="0" quotePrefix="1" applyNumberFormat="1" applyFont="1" applyFill="1" applyBorder="1" applyProtection="1"/>
    <xf numFmtId="0" fontId="18" fillId="0" borderId="0" xfId="0" applyFont="1" applyFill="1" applyAlignment="1" applyProtection="1">
      <alignment horizontal="left" vertical="center"/>
    </xf>
    <xf numFmtId="0" fontId="18" fillId="0" borderId="0" xfId="0" applyFont="1" applyFill="1" applyBorder="1"/>
    <xf numFmtId="0" fontId="18" fillId="0" borderId="0" xfId="0" applyFont="1" applyFill="1" applyBorder="1" applyAlignment="1">
      <alignment wrapText="1"/>
    </xf>
    <xf numFmtId="0" fontId="18" fillId="0" borderId="0" xfId="0" applyFont="1" applyFill="1" applyBorder="1" applyAlignment="1">
      <alignment horizontal="left" vertical="center"/>
    </xf>
    <xf numFmtId="0" fontId="17" fillId="0" borderId="0" xfId="0" applyFont="1" applyFill="1" applyBorder="1" applyAlignment="1" applyProtection="1"/>
    <xf numFmtId="0" fontId="18" fillId="0" borderId="0" xfId="1" applyFont="1" applyFill="1" applyBorder="1" applyAlignment="1" applyProtection="1">
      <alignment horizontal="center"/>
    </xf>
    <xf numFmtId="0" fontId="18" fillId="0" borderId="0" xfId="0" applyFont="1" applyFill="1" applyBorder="1" applyAlignment="1" applyProtection="1">
      <alignment horizontal="left" vertical="center"/>
    </xf>
    <xf numFmtId="0" fontId="18" fillId="0" borderId="0" xfId="0" applyFont="1" applyFill="1" applyBorder="1" applyAlignment="1" applyProtection="1">
      <alignment horizontal="right"/>
    </xf>
    <xf numFmtId="0" fontId="18" fillId="0" borderId="0" xfId="0" applyFont="1" applyFill="1" applyBorder="1" applyAlignment="1" applyProtection="1">
      <alignment horizontal="right" vertical="center"/>
    </xf>
    <xf numFmtId="0" fontId="18" fillId="0" borderId="0" xfId="0" applyFont="1" applyFill="1" applyBorder="1" applyAlignment="1" applyProtection="1">
      <alignment horizontal="center" vertical="center"/>
    </xf>
    <xf numFmtId="0" fontId="4" fillId="0" borderId="0" xfId="0" applyFont="1" applyFill="1" applyAlignment="1" applyProtection="1">
      <alignment horizontal="left"/>
    </xf>
    <xf numFmtId="0" fontId="4" fillId="0" borderId="0" xfId="0" applyFont="1" applyFill="1" applyAlignment="1" applyProtection="1"/>
    <xf numFmtId="0" fontId="4" fillId="0" borderId="0" xfId="0" applyFont="1" applyFill="1" applyBorder="1" applyProtection="1"/>
    <xf numFmtId="0" fontId="4" fillId="0" borderId="0" xfId="0" applyFont="1" applyFill="1" applyAlignment="1" applyProtection="1">
      <alignment wrapText="1"/>
    </xf>
    <xf numFmtId="0" fontId="4" fillId="0" borderId="0" xfId="0" applyNumberFormat="1" applyFont="1" applyFill="1" applyProtection="1"/>
    <xf numFmtId="0" fontId="4" fillId="0" borderId="0" xfId="0" applyFont="1" applyFill="1" applyAlignment="1" applyProtection="1">
      <alignment horizontal="left" vertical="center"/>
    </xf>
    <xf numFmtId="0" fontId="3" fillId="0" borderId="0" xfId="0" applyFont="1" applyFill="1" applyBorder="1" applyProtection="1"/>
    <xf numFmtId="0" fontId="4" fillId="0" borderId="0" xfId="0" applyFont="1" applyFill="1" applyAlignment="1" applyProtection="1">
      <alignment horizontal="center"/>
    </xf>
    <xf numFmtId="0" fontId="3" fillId="0" borderId="1" xfId="0" applyFont="1" applyFill="1" applyBorder="1"/>
    <xf numFmtId="0" fontId="4" fillId="0" borderId="1" xfId="0" applyFont="1" applyFill="1" applyBorder="1"/>
    <xf numFmtId="0" fontId="4" fillId="0" borderId="1" xfId="0" applyFont="1" applyFill="1" applyBorder="1" applyAlignment="1">
      <alignment wrapText="1"/>
    </xf>
    <xf numFmtId="0" fontId="4" fillId="0" borderId="1" xfId="0" applyFont="1" applyFill="1" applyBorder="1" applyAlignment="1">
      <alignment horizontal="left" vertical="center"/>
    </xf>
    <xf numFmtId="0" fontId="3" fillId="0" borderId="1" xfId="0" applyFont="1" applyFill="1" applyBorder="1" applyAlignment="1">
      <alignment horizontal="center" vertical="center"/>
    </xf>
    <xf numFmtId="0" fontId="3" fillId="0" borderId="1" xfId="0" applyFont="1" applyFill="1" applyBorder="1" applyAlignment="1"/>
    <xf numFmtId="0" fontId="3" fillId="0" borderId="1" xfId="0" applyFont="1" applyFill="1" applyBorder="1" applyAlignment="1">
      <alignment horizontal="left"/>
    </xf>
    <xf numFmtId="0" fontId="4" fillId="0" borderId="1" xfId="0" applyNumberFormat="1" applyFont="1" applyFill="1" applyBorder="1"/>
    <xf numFmtId="0" fontId="4" fillId="0" borderId="1" xfId="0" applyFont="1" applyFill="1" applyBorder="1" applyAlignment="1"/>
    <xf numFmtId="0" fontId="16" fillId="0" borderId="29" xfId="0" applyFont="1" applyFill="1" applyBorder="1" applyProtection="1"/>
    <xf numFmtId="0" fontId="27" fillId="0" borderId="19" xfId="0" applyFont="1" applyFill="1" applyBorder="1" applyProtection="1"/>
    <xf numFmtId="0" fontId="16" fillId="0" borderId="30" xfId="0" applyFont="1" applyFill="1" applyBorder="1" applyAlignment="1" applyProtection="1">
      <alignment horizontal="left"/>
    </xf>
    <xf numFmtId="0" fontId="16" fillId="0" borderId="9" xfId="0" applyFont="1" applyFill="1" applyBorder="1" applyAlignment="1" applyProtection="1"/>
    <xf numFmtId="0" fontId="16" fillId="0" borderId="1" xfId="0" applyFont="1" applyFill="1" applyBorder="1" applyAlignment="1" applyProtection="1">
      <alignment horizontal="left" vertical="center"/>
    </xf>
    <xf numFmtId="0" fontId="16" fillId="0" borderId="3" xfId="0" applyFont="1" applyFill="1" applyBorder="1" applyAlignment="1" applyProtection="1">
      <alignment horizontal="left"/>
    </xf>
    <xf numFmtId="0" fontId="16" fillId="0" borderId="40" xfId="0" applyFont="1" applyFill="1" applyBorder="1" applyAlignment="1" applyProtection="1"/>
    <xf numFmtId="0" fontId="16" fillId="0" borderId="39" xfId="0" applyFont="1" applyFill="1" applyBorder="1" applyAlignment="1" applyProtection="1">
      <alignment horizontal="left"/>
    </xf>
    <xf numFmtId="0" fontId="22" fillId="0" borderId="42" xfId="0" applyFont="1" applyFill="1" applyBorder="1" applyProtection="1"/>
    <xf numFmtId="0" fontId="27" fillId="0" borderId="29" xfId="0" applyFont="1" applyFill="1" applyBorder="1" applyProtection="1"/>
    <xf numFmtId="0" fontId="27" fillId="0" borderId="30" xfId="0" applyFont="1" applyFill="1" applyBorder="1" applyProtection="1"/>
    <xf numFmtId="0" fontId="27" fillId="0" borderId="9" xfId="0" applyFont="1" applyFill="1" applyBorder="1" applyProtection="1"/>
    <xf numFmtId="0" fontId="27" fillId="0" borderId="40" xfId="0" applyFont="1" applyFill="1" applyBorder="1" applyProtection="1"/>
    <xf numFmtId="0" fontId="16" fillId="0" borderId="19" xfId="0" applyFont="1" applyFill="1" applyBorder="1" applyAlignment="1" applyProtection="1">
      <alignment horizontal="center"/>
    </xf>
    <xf numFmtId="0" fontId="16" fillId="0" borderId="30" xfId="0" applyFont="1" applyFill="1" applyBorder="1" applyProtection="1"/>
    <xf numFmtId="0" fontId="16" fillId="0" borderId="9" xfId="0" applyFont="1" applyFill="1" applyBorder="1" applyProtection="1"/>
    <xf numFmtId="9" fontId="16" fillId="0" borderId="1" xfId="0" applyNumberFormat="1" applyFont="1" applyFill="1" applyBorder="1" applyAlignment="1" applyProtection="1">
      <alignment horizontal="center"/>
    </xf>
    <xf numFmtId="9" fontId="16" fillId="0" borderId="3" xfId="0" applyNumberFormat="1" applyFont="1" applyFill="1" applyBorder="1" applyProtection="1"/>
    <xf numFmtId="0" fontId="16" fillId="0" borderId="40" xfId="0" applyFont="1" applyFill="1" applyBorder="1" applyProtection="1"/>
    <xf numFmtId="9" fontId="16" fillId="0" borderId="2" xfId="0" applyNumberFormat="1" applyFont="1" applyFill="1" applyBorder="1" applyAlignment="1" applyProtection="1">
      <alignment horizontal="center"/>
    </xf>
    <xf numFmtId="9" fontId="16" fillId="0" borderId="39" xfId="0" applyNumberFormat="1" applyFont="1" applyFill="1" applyBorder="1" applyProtection="1"/>
    <xf numFmtId="0" fontId="16" fillId="0" borderId="30" xfId="0" applyFont="1" applyFill="1" applyBorder="1" applyAlignment="1" applyProtection="1">
      <alignment horizontal="center"/>
    </xf>
    <xf numFmtId="0" fontId="16" fillId="0" borderId="3" xfId="0" applyFont="1" applyFill="1" applyBorder="1" applyAlignment="1" applyProtection="1">
      <alignment horizontal="center" vertical="center"/>
    </xf>
    <xf numFmtId="0" fontId="16" fillId="0" borderId="9" xfId="0" applyFont="1" applyFill="1" applyBorder="1" applyAlignment="1" applyProtection="1">
      <alignment horizontal="left"/>
    </xf>
    <xf numFmtId="0" fontId="16" fillId="0" borderId="3" xfId="0" applyFont="1" applyFill="1" applyBorder="1" applyAlignment="1" applyProtection="1">
      <alignment horizontal="center"/>
    </xf>
    <xf numFmtId="0" fontId="16" fillId="0" borderId="39" xfId="0" applyFont="1" applyFill="1" applyBorder="1" applyAlignment="1" applyProtection="1">
      <alignment horizontal="center"/>
    </xf>
    <xf numFmtId="0" fontId="4" fillId="0" borderId="1" xfId="0" applyFont="1" applyFill="1" applyBorder="1" applyProtection="1"/>
    <xf numFmtId="0" fontId="4" fillId="0" borderId="1" xfId="0" applyFont="1" applyFill="1" applyBorder="1" applyAlignment="1">
      <alignment horizontal="center"/>
    </xf>
    <xf numFmtId="0" fontId="25" fillId="0" borderId="1" xfId="0" applyFont="1" applyFill="1" applyBorder="1" applyAlignment="1">
      <alignment horizontal="center"/>
    </xf>
    <xf numFmtId="0" fontId="16" fillId="0" borderId="9" xfId="0" applyFont="1" applyFill="1" applyBorder="1" applyAlignment="1" applyProtection="1">
      <alignment horizontal="left" vertical="center"/>
    </xf>
    <xf numFmtId="0" fontId="16" fillId="0" borderId="1" xfId="0" applyFont="1" applyFill="1" applyBorder="1" applyAlignment="1" applyProtection="1">
      <alignment vertical="center"/>
    </xf>
    <xf numFmtId="0" fontId="16" fillId="0" borderId="3" xfId="0" applyFont="1" applyFill="1" applyBorder="1" applyAlignment="1" applyProtection="1">
      <alignment vertical="center"/>
    </xf>
    <xf numFmtId="0" fontId="16" fillId="0" borderId="40" xfId="0" applyFont="1" applyFill="1" applyBorder="1" applyAlignment="1" applyProtection="1">
      <alignment horizontal="left" vertical="center"/>
    </xf>
    <xf numFmtId="0" fontId="16" fillId="0" borderId="2" xfId="0" applyFont="1" applyFill="1" applyBorder="1" applyAlignment="1" applyProtection="1">
      <alignment horizontal="left" vertical="center"/>
    </xf>
    <xf numFmtId="0" fontId="16" fillId="0" borderId="2" xfId="0" applyFont="1" applyFill="1" applyBorder="1" applyAlignment="1" applyProtection="1">
      <alignment vertical="center"/>
    </xf>
    <xf numFmtId="0" fontId="16" fillId="0" borderId="39" xfId="0" applyFont="1" applyFill="1" applyBorder="1" applyAlignment="1" applyProtection="1">
      <alignment vertical="center"/>
    </xf>
    <xf numFmtId="0" fontId="24" fillId="0" borderId="29" xfId="0" applyFont="1" applyFill="1" applyBorder="1" applyProtection="1"/>
    <xf numFmtId="0" fontId="24" fillId="0" borderId="19" xfId="0" applyFont="1" applyFill="1" applyBorder="1" applyProtection="1"/>
    <xf numFmtId="0" fontId="24" fillId="0" borderId="30" xfId="0" applyFont="1" applyFill="1" applyBorder="1" applyProtection="1"/>
    <xf numFmtId="0" fontId="4" fillId="0" borderId="40" xfId="0" applyFont="1" applyFill="1" applyBorder="1" applyProtection="1"/>
    <xf numFmtId="0" fontId="4" fillId="0" borderId="2" xfId="0" applyFont="1" applyFill="1" applyBorder="1" applyAlignment="1" applyProtection="1">
      <alignment wrapText="1"/>
    </xf>
    <xf numFmtId="0" fontId="4" fillId="0" borderId="39" xfId="0" applyFont="1" applyFill="1" applyBorder="1" applyAlignment="1" applyProtection="1">
      <alignment horizontal="left" vertical="center"/>
    </xf>
    <xf numFmtId="0" fontId="25" fillId="0" borderId="29" xfId="0" applyFont="1" applyFill="1" applyBorder="1" applyProtection="1"/>
    <xf numFmtId="0" fontId="24" fillId="0" borderId="30" xfId="0" applyFont="1" applyFill="1" applyBorder="1" applyAlignment="1" applyProtection="1">
      <alignment horizontal="center"/>
    </xf>
    <xf numFmtId="0" fontId="3" fillId="0" borderId="9" xfId="0" applyFont="1" applyFill="1" applyBorder="1" applyProtection="1"/>
    <xf numFmtId="0" fontId="4" fillId="0" borderId="3" xfId="0" applyFont="1" applyFill="1" applyBorder="1" applyAlignment="1" applyProtection="1">
      <alignment horizontal="center"/>
    </xf>
    <xf numFmtId="0" fontId="25" fillId="0" borderId="40" xfId="0" applyFont="1" applyFill="1" applyBorder="1" applyProtection="1"/>
    <xf numFmtId="0" fontId="24" fillId="0" borderId="39" xfId="0" applyFont="1" applyFill="1" applyBorder="1" applyAlignment="1" applyProtection="1">
      <alignment horizontal="center"/>
    </xf>
    <xf numFmtId="0" fontId="24" fillId="0" borderId="19" xfId="0" applyFont="1" applyFill="1" applyBorder="1" applyAlignment="1" applyProtection="1">
      <alignment horizontal="center"/>
    </xf>
    <xf numFmtId="0" fontId="4" fillId="0" borderId="1" xfId="0" applyFont="1" applyFill="1" applyBorder="1" applyAlignment="1" applyProtection="1">
      <alignment horizontal="center"/>
    </xf>
    <xf numFmtId="0" fontId="4" fillId="0" borderId="3" xfId="0" applyFont="1" applyFill="1" applyBorder="1" applyProtection="1"/>
    <xf numFmtId="0" fontId="24" fillId="0" borderId="2" xfId="0" applyFont="1" applyFill="1" applyBorder="1" applyAlignment="1" applyProtection="1">
      <alignment horizontal="center"/>
    </xf>
    <xf numFmtId="0" fontId="16" fillId="0" borderId="3" xfId="0" applyFont="1" applyFill="1" applyBorder="1" applyAlignment="1" applyProtection="1"/>
    <xf numFmtId="0" fontId="16" fillId="0" borderId="39" xfId="0" applyFont="1" applyFill="1" applyBorder="1" applyAlignment="1" applyProtection="1"/>
    <xf numFmtId="0" fontId="18" fillId="0" borderId="0" xfId="0" applyFont="1" applyFill="1" applyBorder="1" applyAlignment="1"/>
    <xf numFmtId="0" fontId="18" fillId="0" borderId="57" xfId="0" applyNumberFormat="1" applyFont="1" applyFill="1" applyBorder="1"/>
    <xf numFmtId="0" fontId="18" fillId="0" borderId="57" xfId="0" applyFont="1" applyFill="1" applyBorder="1"/>
    <xf numFmtId="0" fontId="25" fillId="0" borderId="19" xfId="0" applyFont="1" applyFill="1" applyBorder="1"/>
    <xf numFmtId="0" fontId="25" fillId="0" borderId="30" xfId="0" applyFont="1" applyFill="1" applyBorder="1"/>
    <xf numFmtId="0" fontId="4" fillId="0" borderId="2" xfId="0" applyFont="1" applyFill="1" applyBorder="1" applyProtection="1"/>
    <xf numFmtId="0" fontId="4" fillId="0" borderId="2" xfId="0" applyFont="1" applyFill="1" applyBorder="1" applyAlignment="1" applyProtection="1">
      <alignment horizontal="left"/>
    </xf>
    <xf numFmtId="0" fontId="4" fillId="0" borderId="39" xfId="0" applyFont="1" applyFill="1" applyBorder="1" applyProtection="1"/>
    <xf numFmtId="0" fontId="4" fillId="0" borderId="9" xfId="0" applyFont="1" applyFill="1" applyBorder="1" applyProtection="1"/>
    <xf numFmtId="0" fontId="24" fillId="0" borderId="40" xfId="0" applyFont="1" applyFill="1" applyBorder="1" applyProtection="1"/>
    <xf numFmtId="0" fontId="24" fillId="0" borderId="39" xfId="0" applyFont="1" applyFill="1" applyBorder="1" applyProtection="1"/>
    <xf numFmtId="0" fontId="16" fillId="0" borderId="3" xfId="0" applyFont="1" applyFill="1" applyBorder="1" applyProtection="1"/>
    <xf numFmtId="0" fontId="16" fillId="0" borderId="39" xfId="0" applyFont="1" applyFill="1" applyBorder="1" applyProtection="1"/>
    <xf numFmtId="0" fontId="27" fillId="0" borderId="29" xfId="0" applyFont="1" applyFill="1" applyBorder="1" applyAlignment="1" applyProtection="1">
      <alignment horizontal="center"/>
    </xf>
    <xf numFmtId="0" fontId="27" fillId="0" borderId="30" xfId="0" applyFont="1" applyFill="1" applyBorder="1" applyAlignment="1" applyProtection="1">
      <alignment horizontal="center"/>
    </xf>
    <xf numFmtId="0" fontId="16" fillId="0" borderId="1" xfId="0" applyFont="1" applyFill="1" applyBorder="1" applyAlignment="1">
      <alignment horizontal="center"/>
    </xf>
    <xf numFmtId="0" fontId="16" fillId="0" borderId="39" xfId="0" applyFont="1" applyFill="1" applyBorder="1"/>
    <xf numFmtId="0" fontId="16" fillId="0" borderId="2" xfId="0" applyFont="1" applyFill="1" applyBorder="1"/>
    <xf numFmtId="0" fontId="16" fillId="0" borderId="3" xfId="0" applyFont="1" applyFill="1" applyBorder="1"/>
    <xf numFmtId="0" fontId="16" fillId="0" borderId="1" xfId="0" applyFont="1" applyFill="1" applyBorder="1"/>
    <xf numFmtId="0" fontId="16" fillId="0" borderId="2" xfId="0" applyFont="1" applyFill="1" applyBorder="1" applyAlignment="1">
      <alignment horizontal="right"/>
    </xf>
    <xf numFmtId="0" fontId="16" fillId="0" borderId="2" xfId="0" applyFont="1" applyFill="1" applyBorder="1" applyAlignment="1">
      <alignment horizontal="center"/>
    </xf>
    <xf numFmtId="0" fontId="3" fillId="4" borderId="3" xfId="0" applyFont="1" applyFill="1" applyBorder="1" applyAlignment="1" applyProtection="1">
      <alignment horizontal="left" vertical="center"/>
    </xf>
    <xf numFmtId="0" fontId="3" fillId="4" borderId="15" xfId="0" applyFont="1" applyFill="1" applyBorder="1" applyAlignment="1" applyProtection="1">
      <alignment horizontal="left" vertical="center"/>
    </xf>
    <xf numFmtId="0" fontId="3" fillId="2" borderId="3" xfId="0" applyFont="1" applyFill="1" applyBorder="1" applyAlignment="1" applyProtection="1">
      <alignment horizontal="center" vertical="center"/>
      <protection locked="0"/>
    </xf>
    <xf numFmtId="0" fontId="3" fillId="2" borderId="9" xfId="0" applyFont="1" applyFill="1" applyBorder="1" applyAlignment="1" applyProtection="1">
      <alignment horizontal="center" vertical="center"/>
      <protection locked="0"/>
    </xf>
    <xf numFmtId="0" fontId="3" fillId="14" borderId="3" xfId="0" applyFont="1" applyFill="1" applyBorder="1" applyAlignment="1" applyProtection="1">
      <alignment horizontal="center" vertical="center"/>
    </xf>
    <xf numFmtId="0" fontId="3" fillId="14" borderId="9" xfId="0" applyFont="1" applyFill="1" applyBorder="1" applyAlignment="1" applyProtection="1">
      <alignment horizontal="center" vertical="center"/>
    </xf>
    <xf numFmtId="0" fontId="3" fillId="5" borderId="1" xfId="0" applyFont="1" applyFill="1" applyBorder="1" applyAlignment="1" applyProtection="1">
      <alignment horizontal="center" vertical="center"/>
    </xf>
    <xf numFmtId="0" fontId="7" fillId="6" borderId="15" xfId="1" applyFont="1" applyFill="1" applyBorder="1" applyAlignment="1" applyProtection="1">
      <alignment horizontal="left" vertical="center"/>
      <protection locked="0"/>
    </xf>
    <xf numFmtId="0" fontId="7" fillId="6" borderId="9" xfId="1" applyFont="1" applyFill="1" applyBorder="1" applyAlignment="1" applyProtection="1">
      <alignment horizontal="left" vertical="center"/>
      <protection locked="0"/>
    </xf>
    <xf numFmtId="0" fontId="3" fillId="2" borderId="1" xfId="0" applyFont="1" applyFill="1" applyBorder="1" applyAlignment="1" applyProtection="1">
      <alignment horizontal="center" vertical="center"/>
      <protection locked="0"/>
    </xf>
    <xf numFmtId="0" fontId="3" fillId="5" borderId="3" xfId="0" applyFont="1" applyFill="1" applyBorder="1" applyAlignment="1" applyProtection="1">
      <alignment horizontal="center" vertical="center"/>
    </xf>
    <xf numFmtId="0" fontId="3" fillId="5" borderId="9" xfId="0" applyFont="1" applyFill="1" applyBorder="1" applyAlignment="1" applyProtection="1">
      <alignment horizontal="center" vertical="center"/>
    </xf>
    <xf numFmtId="0" fontId="8" fillId="4" borderId="15" xfId="1" applyFont="1" applyFill="1" applyBorder="1" applyAlignment="1" applyProtection="1">
      <alignment vertical="center"/>
      <protection locked="0"/>
    </xf>
    <xf numFmtId="0" fontId="8" fillId="4" borderId="9" xfId="1" applyFont="1" applyFill="1" applyBorder="1" applyAlignment="1" applyProtection="1">
      <alignment vertical="center"/>
      <protection locked="0"/>
    </xf>
    <xf numFmtId="0" fontId="6" fillId="12" borderId="0" xfId="0" applyFont="1" applyFill="1" applyBorder="1" applyAlignment="1" applyProtection="1">
      <alignment horizontal="left" vertical="center"/>
    </xf>
    <xf numFmtId="0" fontId="8" fillId="4" borderId="3" xfId="1" applyFont="1" applyFill="1" applyBorder="1" applyAlignment="1" applyProtection="1">
      <alignment vertical="center"/>
      <protection locked="0"/>
    </xf>
    <xf numFmtId="0" fontId="4" fillId="4" borderId="15" xfId="0" applyFont="1" applyFill="1" applyBorder="1" applyAlignment="1" applyProtection="1">
      <alignment horizontal="left" vertical="center"/>
    </xf>
    <xf numFmtId="0" fontId="4" fillId="4" borderId="9" xfId="0" applyFont="1" applyFill="1" applyBorder="1" applyAlignment="1" applyProtection="1">
      <alignment horizontal="left" vertical="center"/>
    </xf>
    <xf numFmtId="0" fontId="4" fillId="12" borderId="0" xfId="0" applyFont="1" applyFill="1" applyBorder="1" applyAlignment="1" applyProtection="1">
      <alignment horizontal="right" vertical="center"/>
    </xf>
    <xf numFmtId="0" fontId="4" fillId="4" borderId="38" xfId="0" applyFont="1" applyFill="1" applyBorder="1" applyAlignment="1" applyProtection="1">
      <alignment horizontal="left" vertical="center"/>
    </xf>
    <xf numFmtId="0" fontId="4" fillId="4" borderId="40" xfId="0" applyFont="1" applyFill="1" applyBorder="1" applyAlignment="1" applyProtection="1">
      <alignment horizontal="left" vertical="center"/>
    </xf>
    <xf numFmtId="0" fontId="4" fillId="4" borderId="15" xfId="0" applyFont="1" applyFill="1" applyBorder="1" applyAlignment="1" applyProtection="1">
      <alignment horizontal="left"/>
    </xf>
    <xf numFmtId="0" fontId="4" fillId="4" borderId="9" xfId="0" applyFont="1" applyFill="1" applyBorder="1" applyAlignment="1" applyProtection="1">
      <alignment horizontal="left"/>
    </xf>
    <xf numFmtId="0" fontId="7" fillId="6" borderId="52" xfId="1" applyFont="1" applyFill="1" applyBorder="1" applyAlignment="1" applyProtection="1">
      <alignment horizontal="left" vertical="center"/>
      <protection locked="0"/>
    </xf>
    <xf numFmtId="0" fontId="7" fillId="6" borderId="25" xfId="1" applyFont="1" applyFill="1" applyBorder="1" applyAlignment="1" applyProtection="1">
      <alignment horizontal="left" vertical="center"/>
      <protection locked="0"/>
    </xf>
    <xf numFmtId="0" fontId="7" fillId="6" borderId="3" xfId="0" applyFont="1" applyFill="1" applyBorder="1" applyAlignment="1" applyProtection="1">
      <alignment horizontal="left" vertical="center"/>
    </xf>
    <xf numFmtId="0" fontId="7" fillId="6" borderId="15" xfId="0" applyFont="1" applyFill="1" applyBorder="1" applyAlignment="1" applyProtection="1">
      <alignment horizontal="left" vertical="center"/>
    </xf>
    <xf numFmtId="0" fontId="7" fillId="6" borderId="9" xfId="0" applyFont="1" applyFill="1" applyBorder="1" applyAlignment="1" applyProtection="1">
      <alignment horizontal="left" vertical="center"/>
    </xf>
    <xf numFmtId="0" fontId="3" fillId="14" borderId="21" xfId="0" applyFont="1" applyFill="1" applyBorder="1" applyAlignment="1" applyProtection="1">
      <alignment horizontal="center" vertical="center" wrapText="1"/>
    </xf>
    <xf numFmtId="0" fontId="3" fillId="14" borderId="54" xfId="0" applyFont="1" applyFill="1" applyBorder="1" applyAlignment="1" applyProtection="1">
      <alignment horizontal="center" vertical="center" wrapText="1"/>
    </xf>
    <xf numFmtId="0" fontId="3" fillId="14" borderId="49" xfId="0" applyFont="1" applyFill="1" applyBorder="1" applyAlignment="1" applyProtection="1">
      <alignment horizontal="center" vertical="center" wrapText="1"/>
    </xf>
    <xf numFmtId="0" fontId="3" fillId="0" borderId="21" xfId="0" applyFont="1" applyBorder="1" applyAlignment="1" applyProtection="1">
      <alignment horizontal="center" vertical="center" wrapText="1"/>
    </xf>
    <xf numFmtId="0" fontId="3" fillId="0" borderId="54" xfId="0" applyFont="1" applyBorder="1" applyAlignment="1" applyProtection="1">
      <alignment horizontal="center" vertical="center" wrapText="1"/>
    </xf>
    <xf numFmtId="0" fontId="3" fillId="0" borderId="49" xfId="0" applyFont="1" applyBorder="1" applyAlignment="1" applyProtection="1">
      <alignment horizontal="center" vertical="center" wrapText="1"/>
    </xf>
    <xf numFmtId="1" fontId="4" fillId="13" borderId="17" xfId="0" applyNumberFormat="1" applyFont="1" applyFill="1" applyBorder="1" applyAlignment="1" applyProtection="1">
      <alignment horizontal="center" vertical="center"/>
    </xf>
    <xf numFmtId="1" fontId="4" fillId="13" borderId="15" xfId="0" applyNumberFormat="1" applyFont="1" applyFill="1" applyBorder="1" applyAlignment="1" applyProtection="1">
      <alignment horizontal="center" vertical="center"/>
    </xf>
    <xf numFmtId="1" fontId="4" fillId="13" borderId="43" xfId="0" applyNumberFormat="1" applyFont="1" applyFill="1" applyBorder="1" applyAlignment="1" applyProtection="1">
      <alignment horizontal="center" vertical="center"/>
    </xf>
    <xf numFmtId="0" fontId="4" fillId="13" borderId="17" xfId="0" applyNumberFormat="1" applyFont="1" applyFill="1" applyBorder="1" applyAlignment="1" applyProtection="1">
      <alignment horizontal="center" vertical="center"/>
    </xf>
    <xf numFmtId="0" fontId="4" fillId="13" borderId="15" xfId="0" applyNumberFormat="1" applyFont="1" applyFill="1" applyBorder="1" applyAlignment="1" applyProtection="1">
      <alignment horizontal="center" vertical="center"/>
    </xf>
    <xf numFmtId="0" fontId="4" fillId="13" borderId="43" xfId="0" applyNumberFormat="1" applyFont="1" applyFill="1" applyBorder="1" applyAlignment="1" applyProtection="1">
      <alignment horizontal="center" vertical="center"/>
    </xf>
    <xf numFmtId="0" fontId="18" fillId="0" borderId="0" xfId="0" applyFont="1" applyFill="1" applyBorder="1" applyAlignment="1" applyProtection="1">
      <alignment horizontal="center"/>
    </xf>
    <xf numFmtId="0" fontId="16" fillId="0" borderId="36" xfId="0" applyFont="1" applyFill="1" applyBorder="1" applyAlignment="1" applyProtection="1">
      <alignment horizontal="center"/>
    </xf>
    <xf numFmtId="0" fontId="16" fillId="0" borderId="3" xfId="0" applyFont="1" applyFill="1" applyBorder="1" applyAlignment="1" applyProtection="1">
      <alignment horizontal="center"/>
    </xf>
    <xf numFmtId="0" fontId="16" fillId="0" borderId="9" xfId="0" applyFont="1" applyFill="1" applyBorder="1" applyAlignment="1" applyProtection="1">
      <alignment horizontal="center"/>
    </xf>
    <xf numFmtId="0" fontId="16" fillId="0" borderId="15" xfId="0" applyFont="1" applyFill="1" applyBorder="1" applyAlignment="1" applyProtection="1">
      <alignment horizontal="center"/>
    </xf>
    <xf numFmtId="0" fontId="27" fillId="0" borderId="3" xfId="0" applyFont="1" applyFill="1" applyBorder="1" applyAlignment="1" applyProtection="1">
      <alignment horizontal="center"/>
    </xf>
    <xf numFmtId="0" fontId="27" fillId="0" borderId="9" xfId="0" applyFont="1" applyFill="1" applyBorder="1" applyAlignment="1" applyProtection="1">
      <alignment horizontal="center"/>
    </xf>
    <xf numFmtId="0" fontId="27" fillId="0" borderId="2" xfId="0" applyFont="1" applyFill="1" applyBorder="1" applyAlignment="1" applyProtection="1">
      <alignment horizontal="center"/>
    </xf>
  </cellXfs>
  <cellStyles count="3">
    <cellStyle name="Lien hypertexte" xfId="1" builtinId="8"/>
    <cellStyle name="Normal" xfId="0" builtinId="0"/>
    <cellStyle name="Normal 2" xfId="2"/>
  </cellStyles>
  <dxfs count="351">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b/>
        <i val="0"/>
        <condense val="0"/>
        <extend val="0"/>
        <color indexed="18"/>
      </font>
      <fill>
        <patternFill>
          <bgColor indexed="46"/>
        </patternFill>
      </fill>
    </dxf>
    <dxf>
      <font>
        <color theme="0"/>
      </font>
    </dxf>
    <dxf>
      <font>
        <color theme="7" tint="0.79998168889431442"/>
      </font>
    </dxf>
    <dxf>
      <fill>
        <patternFill patternType="darkUp"/>
      </fill>
    </dxf>
    <dxf>
      <font>
        <color theme="0"/>
      </font>
    </dxf>
    <dxf>
      <font>
        <color theme="7" tint="0.79998168889431442"/>
      </font>
    </dxf>
    <dxf>
      <font>
        <color theme="0"/>
      </font>
    </dxf>
    <dxf>
      <font>
        <b/>
        <i val="0"/>
        <condense val="0"/>
        <extend val="0"/>
      </font>
      <fill>
        <patternFill>
          <bgColor indexed="42"/>
        </patternFill>
      </fill>
    </dxf>
    <dxf>
      <font>
        <b/>
        <i val="0"/>
        <condense val="0"/>
        <extend val="0"/>
        <color indexed="10"/>
      </font>
      <fill>
        <patternFill>
          <bgColor indexed="13"/>
        </patternFill>
      </fill>
    </dxf>
    <dxf>
      <font>
        <b/>
        <i val="0"/>
        <condense val="0"/>
        <extend val="0"/>
      </font>
      <fill>
        <patternFill>
          <bgColor indexed="42"/>
        </patternFill>
      </fill>
    </dxf>
    <dxf>
      <font>
        <b/>
        <i val="0"/>
        <condense val="0"/>
        <extend val="0"/>
        <color indexed="10"/>
      </font>
      <fill>
        <patternFill>
          <bgColor indexed="13"/>
        </patternFill>
      </fill>
    </dxf>
    <dxf>
      <font>
        <b/>
        <i val="0"/>
        <condense val="0"/>
        <extend val="0"/>
        <color indexed="10"/>
      </font>
      <fill>
        <patternFill>
          <bgColor indexed="13"/>
        </patternFill>
      </fill>
    </dxf>
    <dxf>
      <font>
        <b/>
        <i val="0"/>
        <condense val="0"/>
        <extend val="0"/>
        <color indexed="10"/>
      </font>
      <fill>
        <patternFill>
          <bgColor indexed="13"/>
        </patternFill>
      </fill>
    </dxf>
    <dxf>
      <fill>
        <patternFill>
          <bgColor indexed="15"/>
        </patternFill>
      </fill>
    </dxf>
    <dxf>
      <font>
        <color theme="6" tint="0.59996337778862885"/>
      </font>
      <fill>
        <patternFill>
          <bgColor theme="6" tint="0.59996337778862885"/>
        </patternFill>
      </fill>
      <border>
        <left/>
        <right/>
        <top/>
        <bottom/>
        <vertical/>
        <horizontal/>
      </border>
    </dxf>
    <dxf>
      <font>
        <strike val="0"/>
        <color theme="9" tint="0.79998168889431442"/>
      </font>
      <fill>
        <patternFill>
          <bgColor theme="9" tint="0.79998168889431442"/>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9" tint="0.79998168889431442"/>
      </font>
      <fill>
        <patternFill>
          <bgColor theme="9" tint="0.79998168889431442"/>
        </patternFill>
      </fill>
      <border>
        <left/>
        <right/>
        <top/>
        <bottom/>
        <vertical/>
        <horizontal/>
      </border>
    </dxf>
    <dxf>
      <font>
        <strike val="0"/>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9" tint="0.79998168889431442"/>
      </font>
      <fill>
        <patternFill>
          <bgColor theme="9" tint="0.79998168889431442"/>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strike val="0"/>
        <color theme="6" tint="0.59996337778862885"/>
      </font>
      <fill>
        <patternFill>
          <bgColor theme="6" tint="0.59996337778862885"/>
        </patternFill>
      </fill>
      <border>
        <left/>
        <right/>
        <top/>
        <bottom/>
        <vertical/>
        <horizontal/>
      </border>
    </dxf>
    <dxf>
      <font>
        <color rgb="FF00FFFF"/>
      </font>
      <fill>
        <patternFill patternType="lightUp">
          <bgColor rgb="FF00FFFF"/>
        </patternFill>
      </fill>
    </dxf>
    <dxf>
      <font>
        <strike val="0"/>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9" tint="0.79998168889431442"/>
      </font>
      <fill>
        <patternFill>
          <bgColor theme="9" tint="0.79998168889431442"/>
        </patternFill>
      </fill>
      <border>
        <left/>
        <right/>
        <top/>
        <bottom/>
        <vertical/>
        <horizontal/>
      </border>
    </dxf>
    <dxf>
      <font>
        <color theme="6" tint="0.59996337778862885"/>
      </font>
      <fill>
        <patternFill>
          <bgColor theme="6" tint="0.59996337778862885"/>
        </patternFill>
      </fill>
      <border>
        <left/>
        <right/>
        <top/>
        <bottom/>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ndense val="0"/>
        <extend val="0"/>
        <color indexed="9"/>
      </font>
      <fill>
        <patternFill>
          <bgColor indexed="9"/>
        </patternFill>
      </fill>
      <border>
        <left/>
        <right/>
        <top/>
        <bottom/>
      </border>
    </dxf>
    <dxf>
      <font>
        <color theme="0"/>
      </font>
    </dxf>
    <dxf>
      <font>
        <condense val="0"/>
        <extend val="0"/>
        <color indexed="9"/>
      </font>
      <fill>
        <patternFill>
          <bgColor indexed="9"/>
        </patternFill>
      </fill>
      <border>
        <left/>
        <right/>
        <top/>
        <bottom/>
      </border>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left/>
        <right style="thin">
          <color indexed="64"/>
        </right>
        <top style="thin">
          <color indexed="64"/>
        </top>
        <bottom style="thin">
          <color indexed="64"/>
        </bottom>
        <vertical/>
        <horizontal/>
      </border>
      <protection locked="1" hidden="0"/>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0"/>
        <color rgb="FFFF0000"/>
        <name val="Times New Roman"/>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left/>
        <right style="thin">
          <color indexed="64"/>
        </right>
        <top style="thin">
          <color indexed="64"/>
        </top>
        <bottom style="thin">
          <color indexed="64"/>
        </bottom>
        <vertical/>
        <horizontal/>
      </border>
      <protection locked="1" hidden="0"/>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0"/>
        <color rgb="FFFF0000"/>
        <name val="Times New Roman"/>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left/>
        <right style="thin">
          <color indexed="64"/>
        </right>
        <top style="thin">
          <color indexed="64"/>
        </top>
        <bottom style="thin">
          <color indexed="64"/>
        </bottom>
        <vertical/>
        <horizontal/>
      </border>
      <protection locked="1" hidden="0"/>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protection locked="1" hidden="0"/>
    </dxf>
    <dxf>
      <border outline="0">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indexed="65"/>
        </patternFill>
      </fill>
      <border diagonalUp="0" diagonalDown="0" outline="0">
        <left style="thin">
          <color indexed="64"/>
        </left>
        <right style="thin">
          <color indexed="64"/>
        </right>
        <top/>
        <bottom/>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Times New Roman"/>
        <scheme val="none"/>
      </font>
      <fill>
        <patternFill patternType="none">
          <fgColor indexed="64"/>
          <bgColor auto="1"/>
        </patternFill>
      </fill>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dxf>
    <dxf>
      <border>
        <bottom style="thin">
          <color indexed="64"/>
        </bottom>
      </border>
    </dxf>
    <dxf>
      <font>
        <b/>
        <i val="0"/>
        <strike val="0"/>
        <condense val="0"/>
        <extend val="0"/>
        <outline val="0"/>
        <shadow val="0"/>
        <u val="none"/>
        <vertAlign val="baseline"/>
        <sz val="10"/>
        <color theme="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numFmt numFmtId="0" formatCode="General"/>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theme="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right style="thin">
          <color indexed="64"/>
        </right>
        <top/>
        <bottom/>
        <vertical style="thin">
          <color indexed="64"/>
        </vertical>
        <horizontal style="thin">
          <color indexed="64"/>
        </horizontal>
      </border>
      <protection locked="1" hidden="0"/>
    </dxf>
    <dxf>
      <font>
        <b/>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center"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rgb="FFFF0000"/>
        <name val="Times New Roman"/>
        <scheme val="none"/>
      </font>
      <numFmt numFmtId="13" formatCode="0%"/>
      <fill>
        <patternFill patternType="none">
          <fgColor indexed="64"/>
          <bgColor auto="1"/>
        </patternFill>
      </fill>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numFmt numFmtId="13" formatCode="0%"/>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outline="0">
        <left/>
        <right/>
        <top style="thin">
          <color indexed="64"/>
        </top>
        <bottom style="thin">
          <color indexed="64"/>
        </bottom>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outline="0">
        <left/>
        <right/>
        <top style="thin">
          <color indexed="64"/>
        </top>
        <bottom style="thin">
          <color indexed="64"/>
        </bottom>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outline="0">
        <left style="thin">
          <color indexed="64"/>
        </left>
        <right/>
        <top style="thin">
          <color indexed="64"/>
        </top>
        <bottom style="thin">
          <color indexed="64"/>
        </bottom>
      </border>
      <protection locked="1" hidden="0"/>
    </dxf>
    <dxf>
      <font>
        <b/>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outline="0">
        <left/>
        <right/>
        <top style="thin">
          <color indexed="64"/>
        </top>
        <bottom style="thin">
          <color indexed="64"/>
        </bottom>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rgb="FFFF0000"/>
        <name val="Times New Roman"/>
        <scheme val="none"/>
      </font>
      <fill>
        <patternFill patternType="none">
          <fgColor indexed="64"/>
          <bgColor auto="1"/>
        </patternFill>
      </fill>
    </dxf>
    <dxf>
      <border>
        <bottom style="thin">
          <color indexed="64"/>
        </bottom>
      </border>
    </dxf>
    <dxf>
      <font>
        <b/>
        <i val="0"/>
        <strike val="0"/>
        <condense val="0"/>
        <extend val="0"/>
        <outline val="0"/>
        <shadow val="0"/>
        <u val="none"/>
        <vertAlign val="baseline"/>
        <sz val="10"/>
        <color theme="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general" vertical="bottom" textRotation="0" wrapText="1" indent="0" justifyLastLine="0" shrinkToFit="0" readingOrder="0"/>
      <protection locked="1" hidden="0"/>
    </dxf>
    <dxf>
      <border>
        <bottom style="thin">
          <color indexed="64"/>
        </bottom>
      </border>
    </dxf>
    <dxf>
      <font>
        <b val="0"/>
        <i val="0"/>
        <strike val="0"/>
        <condense val="0"/>
        <extend val="0"/>
        <outline val="0"/>
        <shadow val="0"/>
        <u val="none"/>
        <vertAlign val="baseline"/>
        <sz val="10"/>
        <color theme="1"/>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bottom"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bottom" textRotation="0" wrapText="0"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center" textRotation="0" wrapText="0"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protection locked="1" hidden="0"/>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alignment horizontal="left" vertical="center" textRotation="0" wrapText="0" indent="0" justifyLastLine="0" shrinkToFit="0" readingOrder="0"/>
      <protection locked="1" hidden="0"/>
    </dxf>
    <dxf>
      <border>
        <bottom style="thin">
          <color indexed="64"/>
        </bottom>
      </border>
    </dxf>
    <dxf>
      <font>
        <b val="0"/>
        <i val="0"/>
        <strike val="0"/>
        <condense val="0"/>
        <extend val="0"/>
        <outline val="0"/>
        <shadow val="0"/>
        <u val="none"/>
        <vertAlign val="baseline"/>
        <sz val="10"/>
        <color rgb="FFFF0000"/>
        <name val="Times New Roman"/>
        <scheme val="none"/>
      </font>
      <fill>
        <patternFill patternType="none">
          <fgColor indexed="64"/>
          <bgColor auto="1"/>
        </patternFill>
      </fill>
      <border diagonalUp="0" diagonalDown="0">
        <left style="thin">
          <color indexed="64"/>
        </left>
        <right style="thin">
          <color indexed="64"/>
        </right>
        <top/>
        <bottom/>
        <vertical style="thin">
          <color indexed="64"/>
        </vertical>
        <horizontal style="thin">
          <color indexed="64"/>
        </horizontal>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indexed="10"/>
        <name val="Times New Roman"/>
        <scheme val="none"/>
      </font>
      <fill>
        <patternFill patternType="solid">
          <fgColor indexed="64"/>
          <bgColor theme="7" tint="0.39997558519241921"/>
        </patternFill>
      </fill>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solid">
          <fgColor indexed="64"/>
          <bgColor theme="7" tint="0.39997558519241921"/>
        </patternFill>
      </fill>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solid">
          <fgColor indexed="64"/>
          <bgColor theme="7" tint="0.39997558519241921"/>
        </patternFill>
      </fill>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solid">
          <fgColor indexed="64"/>
          <bgColor theme="7" tint="0.39997558519241921"/>
        </patternFill>
      </fill>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horizontal="right" vertical="center" textRotation="0" wrapText="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solid">
          <fgColor indexed="64"/>
          <bgColor theme="7" tint="0.39997558519241921"/>
        </patternFill>
      </fill>
      <alignment horizontal="righ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
      <font>
        <b val="0"/>
        <i val="0"/>
        <strike val="0"/>
        <condense val="0"/>
        <extend val="0"/>
        <outline val="0"/>
        <shadow val="0"/>
        <u val="none"/>
        <vertAlign val="baseline"/>
        <sz val="10"/>
        <color auto="1"/>
        <name val="Times New Roman"/>
        <scheme val="none"/>
      </font>
      <fill>
        <patternFill patternType="none">
          <fgColor indexed="64"/>
          <bgColor auto="1"/>
        </patternFill>
      </fill>
      <alignment vertical="center" textRotation="0" indent="0" justifyLastLine="0" shrinkToFit="0" readingOrder="0"/>
      <protection locked="1" hidden="0"/>
    </dxf>
  </dxfs>
  <tableStyles count="0" defaultTableStyle="TableStyleMedium9" defaultPivotStyle="PivotStyleLight16"/>
  <colors>
    <mruColors>
      <color rgb="FF00FFFF"/>
      <color rgb="FFC0C0C0"/>
      <color rgb="FFFFFF99"/>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oneCellAnchor>
    <xdr:from>
      <xdr:col>0</xdr:col>
      <xdr:colOff>219412</xdr:colOff>
      <xdr:row>20</xdr:row>
      <xdr:rowOff>82204</xdr:rowOff>
    </xdr:from>
    <xdr:ext cx="18166641" cy="3849452"/>
    <xdr:sp macro="" textlink="">
      <xdr:nvSpPr>
        <xdr:cNvPr id="2" name="Rectangle 1"/>
        <xdr:cNvSpPr/>
      </xdr:nvSpPr>
      <xdr:spPr>
        <a:xfrm rot="20282570">
          <a:off x="219412" y="3347918"/>
          <a:ext cx="18166641" cy="3849452"/>
        </a:xfrm>
        <a:prstGeom prst="rect">
          <a:avLst/>
        </a:prstGeom>
        <a:noFill/>
        <a:ln>
          <a:noFill/>
        </a:ln>
      </xdr:spPr>
      <xdr:txBody>
        <a:bodyPr wrap="none" lIns="91440" tIns="45720" rIns="91440" bIns="45720">
          <a:spAutoFit/>
        </a:bodyPr>
        <a:lstStyle/>
        <a:p>
          <a:pPr algn="ctr"/>
          <a:r>
            <a:rPr lang="fr-FR" sz="4800" b="1" cap="none" spc="0">
              <a:ln w="6600">
                <a:solidFill>
                  <a:schemeClr val="accent2"/>
                </a:solidFill>
                <a:prstDash val="solid"/>
              </a:ln>
              <a:solidFill>
                <a:srgbClr val="FFC000"/>
              </a:solidFill>
              <a:effectLst>
                <a:outerShdw dist="38100" dir="2700000" algn="tl" rotWithShape="0">
                  <a:schemeClr val="accent2"/>
                </a:outerShdw>
              </a:effectLst>
            </a:rPr>
            <a:t>Ne modifier cette page que si tu sais ce</a:t>
          </a: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 que tu fais :</a:t>
          </a:r>
          <a:b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b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Le fichier dépend totalement </a:t>
          </a:r>
          <a:b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b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de cette page!</a:t>
          </a:r>
          <a:b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b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Les textes en rouge = BDD (mais pas forcément tout utilisé...)</a:t>
          </a:r>
          <a:b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br>
          <a:r>
            <a:rPr lang="fr-FR" sz="4800" b="1" cap="none" spc="0" baseline="0">
              <a:ln w="6600">
                <a:solidFill>
                  <a:schemeClr val="accent2"/>
                </a:solidFill>
                <a:prstDash val="solid"/>
              </a:ln>
              <a:solidFill>
                <a:srgbClr val="FFC000"/>
              </a:solidFill>
              <a:effectLst>
                <a:outerShdw dist="38100" dir="2700000" algn="tl" rotWithShape="0">
                  <a:schemeClr val="accent2"/>
                </a:outerShdw>
              </a:effectLst>
            </a:rPr>
            <a:t>Les textes en noir = calculs intermédiaires (pour la plupart du moins...)</a:t>
          </a:r>
          <a:endParaRPr lang="fr-FR" sz="4800" b="1" cap="none" spc="0">
            <a:ln w="6600">
              <a:solidFill>
                <a:schemeClr val="accent2"/>
              </a:solidFill>
              <a:prstDash val="solid"/>
            </a:ln>
            <a:solidFill>
              <a:srgbClr val="FFC000"/>
            </a:solidFill>
            <a:effectLst>
              <a:outerShdw dist="38100" dir="2700000" algn="tl" rotWithShape="0">
                <a:schemeClr val="accent2"/>
              </a:outerShdw>
            </a:effectLst>
          </a:endParaRPr>
        </a:p>
      </xdr:txBody>
    </xdr:sp>
    <xdr:clientData/>
  </xdr:oneCellAnchor>
  <xdr:oneCellAnchor>
    <xdr:from>
      <xdr:col>86</xdr:col>
      <xdr:colOff>0</xdr:colOff>
      <xdr:row>17</xdr:row>
      <xdr:rowOff>7434</xdr:rowOff>
    </xdr:from>
    <xdr:ext cx="7886647" cy="937629"/>
    <xdr:sp macro="" textlink="">
      <xdr:nvSpPr>
        <xdr:cNvPr id="3" name="Rectangle 2"/>
        <xdr:cNvSpPr/>
      </xdr:nvSpPr>
      <xdr:spPr>
        <a:xfrm rot="19816335">
          <a:off x="196003238" y="2674434"/>
          <a:ext cx="7886647" cy="937629"/>
        </a:xfrm>
        <a:prstGeom prst="rect">
          <a:avLst/>
        </a:prstGeom>
        <a:noFill/>
      </xdr:spPr>
      <xdr:txBody>
        <a:bodyPr wrap="none" lIns="91440" tIns="45720" rIns="91440" bIns="45720">
          <a:spAutoFit/>
        </a:bodyPr>
        <a:lstStyle/>
        <a:p>
          <a:pPr algn="ctr"/>
          <a:r>
            <a:rPr lang="fr-FR" sz="5400" b="1" cap="none" spc="0">
              <a:ln w="1905"/>
              <a:gradFill>
                <a:gsLst>
                  <a:gs pos="0">
                    <a:schemeClr val="accent6">
                      <a:shade val="20000"/>
                      <a:satMod val="200000"/>
                    </a:schemeClr>
                  </a:gs>
                  <a:gs pos="78000">
                    <a:schemeClr val="accent6">
                      <a:tint val="90000"/>
                      <a:shade val="89000"/>
                      <a:satMod val="220000"/>
                    </a:schemeClr>
                  </a:gs>
                  <a:gs pos="100000">
                    <a:schemeClr val="accent6">
                      <a:tint val="12000"/>
                      <a:satMod val="255000"/>
                    </a:schemeClr>
                  </a:gs>
                </a:gsLst>
                <a:lin ang="5400000"/>
              </a:gradFill>
              <a:effectLst>
                <a:innerShdw blurRad="69850" dist="43180" dir="5400000">
                  <a:srgbClr val="000000">
                    <a:alpha val="65000"/>
                  </a:srgbClr>
                </a:innerShdw>
              </a:effectLst>
            </a:rPr>
            <a:t>PARCELLES HORS VERGERS</a:t>
          </a: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ide_simagri_V14-0%20(R&#233;par&#23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éleveurs"/>
      <sheetName val="cultivateurs"/>
      <sheetName val="bovins"/>
      <sheetName val="bisons"/>
      <sheetName val="caprins"/>
      <sheetName val="porcins"/>
      <sheetName val="poules"/>
      <sheetName val="pintades"/>
      <sheetName val="lapins"/>
      <sheetName val="oies"/>
      <sheetName val="canards"/>
      <sheetName val="foie gras"/>
      <sheetName val="ovins"/>
      <sheetName val="daims"/>
      <sheetName val="chevaux de selle"/>
      <sheetName val="chevaux de trait"/>
      <sheetName val="poneys"/>
      <sheetName val="abris"/>
      <sheetName val="pâtures et foin"/>
      <sheetName val="coût"/>
      <sheetName val="gains"/>
      <sheetName val="parcelles"/>
      <sheetName val="vergers"/>
      <sheetName val="semences, engrais et traitement"/>
      <sheetName val="hangars"/>
      <sheetName val="entrepôts et local phyto"/>
      <sheetName val="aires et silos"/>
      <sheetName val="memo"/>
      <sheetName val="bilan ferm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ow r="3">
          <cell r="AC3" t="str">
            <v>Belgique</v>
          </cell>
        </row>
        <row r="4">
          <cell r="AC4" t="str">
            <v xml:space="preserve">Alter Real </v>
          </cell>
        </row>
        <row r="5">
          <cell r="AC5" t="str">
            <v xml:space="preserve">Anglo-Arabe </v>
          </cell>
        </row>
        <row r="6">
          <cell r="AC6" t="str">
            <v xml:space="preserve">Appaloosa </v>
          </cell>
        </row>
        <row r="7">
          <cell r="AC7" t="str">
            <v xml:space="preserve">Arabe Shagya </v>
          </cell>
        </row>
        <row r="8">
          <cell r="AC8" t="str">
            <v xml:space="preserve">Barbe </v>
          </cell>
        </row>
        <row r="9">
          <cell r="AC9" t="str">
            <v xml:space="preserve">Cheval Canadien </v>
          </cell>
        </row>
        <row r="10">
          <cell r="AC10" t="str">
            <v xml:space="preserve">Franches-Montagnes </v>
          </cell>
        </row>
        <row r="11">
          <cell r="AC11" t="str">
            <v xml:space="preserve">Frison </v>
          </cell>
        </row>
        <row r="12">
          <cell r="AC12" t="str">
            <v xml:space="preserve">Hanovrien </v>
          </cell>
        </row>
        <row r="13">
          <cell r="AC13" t="str">
            <v xml:space="preserve">Henson </v>
          </cell>
        </row>
        <row r="14">
          <cell r="AC14" t="str">
            <v xml:space="preserve">Holsteiner </v>
          </cell>
        </row>
        <row r="15">
          <cell r="AC15" t="str">
            <v xml:space="preserve">Lipizzan </v>
          </cell>
        </row>
        <row r="16">
          <cell r="AC16" t="str">
            <v xml:space="preserve">Paint Horse </v>
          </cell>
        </row>
        <row r="17">
          <cell r="AC17" t="str">
            <v xml:space="preserve">Pur-Sang Anglais </v>
          </cell>
        </row>
        <row r="18">
          <cell r="AC18" t="str">
            <v xml:space="preserve">Pur-Sang Arabe </v>
          </cell>
        </row>
        <row r="19">
          <cell r="AC19" t="str">
            <v xml:space="preserve">Pur Race Espagnole </v>
          </cell>
        </row>
        <row r="20">
          <cell r="AC20" t="str">
            <v xml:space="preserve">Quarter Horse </v>
          </cell>
        </row>
        <row r="21">
          <cell r="AC21" t="str">
            <v xml:space="preserve">Selle Francais </v>
          </cell>
        </row>
        <row r="22">
          <cell r="AC22" t="str">
            <v xml:space="preserve">Trakehner </v>
          </cell>
        </row>
        <row r="23">
          <cell r="AC23" t="str">
            <v xml:space="preserve">Trotteur Francais </v>
          </cell>
        </row>
      </sheetData>
      <sheetData sheetId="16">
        <row r="3">
          <cell r="AC3" t="str">
            <v>Belgique</v>
          </cell>
        </row>
        <row r="4">
          <cell r="AC4" t="str">
            <v xml:space="preserve">Ardennais </v>
          </cell>
        </row>
        <row r="5">
          <cell r="AC5" t="str">
            <v xml:space="preserve">Auxois </v>
          </cell>
        </row>
        <row r="6">
          <cell r="AC6" t="str">
            <v xml:space="preserve">Boulonnais </v>
          </cell>
        </row>
        <row r="7">
          <cell r="AC7" t="str">
            <v xml:space="preserve">Breton </v>
          </cell>
        </row>
        <row r="8">
          <cell r="AC8" t="str">
            <v xml:space="preserve">Cob Normand </v>
          </cell>
        </row>
        <row r="9">
          <cell r="AC9" t="str">
            <v xml:space="preserve">Comtois </v>
          </cell>
        </row>
        <row r="10">
          <cell r="AC10" t="str">
            <v xml:space="preserve">Percheron </v>
          </cell>
        </row>
        <row r="11">
          <cell r="AC11" t="str">
            <v xml:space="preserve">Poitevin Mulassier </v>
          </cell>
        </row>
        <row r="12">
          <cell r="AC12" t="str">
            <v xml:space="preserve">Trait du Nord </v>
          </cell>
        </row>
        <row r="13">
          <cell r="AC13" t="str">
            <v xml:space="preserve">Brabançon </v>
          </cell>
        </row>
        <row r="14">
          <cell r="AC14" t="str">
            <v xml:space="preserve">Shire </v>
          </cell>
        </row>
        <row r="15">
          <cell r="AC15" t="str">
            <v xml:space="preserve">Clydesdale </v>
          </cell>
        </row>
        <row r="16">
          <cell r="AC16" t="str">
            <v xml:space="preserve">Irish Cob </v>
          </cell>
        </row>
        <row r="17">
          <cell r="AC17" t="str">
            <v xml:space="preserve">American Cream Draft </v>
          </cell>
        </row>
      </sheetData>
      <sheetData sheetId="17">
        <row r="3">
          <cell r="AC3" t="str">
            <v>Belgique</v>
          </cell>
        </row>
        <row r="4">
          <cell r="AC4" t="str">
            <v xml:space="preserve">Camargue </v>
          </cell>
        </row>
        <row r="5">
          <cell r="AC5" t="str">
            <v xml:space="preserve">Cheval Castillonais </v>
          </cell>
        </row>
        <row r="6">
          <cell r="AC6" t="str">
            <v xml:space="preserve">Merens </v>
          </cell>
        </row>
        <row r="7">
          <cell r="AC7" t="str">
            <v xml:space="preserve">Connemara </v>
          </cell>
        </row>
        <row r="8">
          <cell r="AC8" t="str">
            <v xml:space="preserve">Dartmoor </v>
          </cell>
        </row>
        <row r="9">
          <cell r="AC9" t="str">
            <v xml:space="preserve">Fjord </v>
          </cell>
        </row>
        <row r="10">
          <cell r="AC10" t="str">
            <v xml:space="preserve">Haflinger </v>
          </cell>
        </row>
        <row r="11">
          <cell r="AC11" t="str">
            <v xml:space="preserve">Landais </v>
          </cell>
        </row>
        <row r="12">
          <cell r="AC12" t="str">
            <v xml:space="preserve">New Forest </v>
          </cell>
        </row>
        <row r="13">
          <cell r="AC13" t="str">
            <v xml:space="preserve">Poney Francais de Selle </v>
          </cell>
        </row>
        <row r="14">
          <cell r="AC14" t="str">
            <v xml:space="preserve">Pottok </v>
          </cell>
        </row>
        <row r="15">
          <cell r="AC15" t="str">
            <v xml:space="preserve">Shetland </v>
          </cell>
        </row>
        <row r="16">
          <cell r="AC16" t="str">
            <v xml:space="preserve">Welsh </v>
          </cell>
        </row>
      </sheetData>
      <sheetData sheetId="18"/>
      <sheetData sheetId="19"/>
      <sheetData sheetId="20"/>
      <sheetData sheetId="21"/>
      <sheetData sheetId="22"/>
      <sheetData sheetId="23"/>
      <sheetData sheetId="24"/>
      <sheetData sheetId="25"/>
      <sheetData sheetId="26"/>
      <sheetData sheetId="27"/>
      <sheetData sheetId="28"/>
      <sheetData sheetId="29"/>
    </sheetDataSet>
  </externalBook>
</externalLink>
</file>

<file path=xl/tables/table1.xml><?xml version="1.0" encoding="utf-8"?>
<table xmlns="http://schemas.openxmlformats.org/spreadsheetml/2006/main" id="58" name="CoutPaillage" displayName="CoutPaillage" ref="M37:Q50" headerRowCount="0" totalsRowShown="0" headerRowDxfId="350" dataDxfId="349">
  <tableColumns count="5">
    <tableColumn id="1" name="Colonne1" headerRowDxfId="348" dataDxfId="347"/>
    <tableColumn id="2" name="Colonne2" headerRowDxfId="346" dataDxfId="345"/>
    <tableColumn id="3" name="Colonne3" headerRowDxfId="344" dataDxfId="343"/>
    <tableColumn id="4" name="Colonne4" headerRowDxfId="342" dataDxfId="341"/>
    <tableColumn id="5" name="Colonne5" headerRowDxfId="340" dataDxfId="339"/>
  </tableColumns>
  <tableStyleInfo name="TableStyleMedium5" showFirstColumn="0" showLastColumn="0" showRowStripes="1" showColumnStripes="0"/>
</table>
</file>

<file path=xl/tables/table2.xml><?xml version="1.0" encoding="utf-8"?>
<table xmlns="http://schemas.openxmlformats.org/spreadsheetml/2006/main" id="3" name="Règles_bovins" displayName="Règles_bovins" ref="BB58:BK190" totalsRowShown="0" headerRowDxfId="338" dataDxfId="336" headerRowBorderDxfId="337" tableBorderDxfId="335" totalsRowBorderDxfId="334">
  <autoFilter ref="BB58:BK190"/>
  <tableColumns count="10">
    <tableColumn id="1" name="Ration" dataDxfId="333"/>
    <tableColumn id="2" name="Aliment" dataDxfId="332"/>
    <tableColumn id="3" name="Specificite" dataDxfId="331"/>
    <tableColumn id="4" name="Valeur 36 et plus" dataDxfId="330"/>
    <tableColumn id="5" name="Valeur 24-36" dataDxfId="329"/>
    <tableColumn id="6" name="Valeur 18-24" dataDxfId="328"/>
    <tableColumn id="7" name="Valeur 12-18" dataDxfId="327"/>
    <tableColumn id="8" name="Valeur 6-12" dataDxfId="326"/>
    <tableColumn id="9" name="Valeur 3-6" dataDxfId="325"/>
    <tableColumn id="10" name="Valeur 0-3" dataDxfId="324"/>
  </tableColumns>
  <tableStyleInfo name="TableStyleMedium9" showFirstColumn="0" showLastColumn="0" showRowStripes="1" showColumnStripes="0"/>
</table>
</file>

<file path=xl/tables/table3.xml><?xml version="1.0" encoding="utf-8"?>
<table xmlns="http://schemas.openxmlformats.org/spreadsheetml/2006/main" id="1" name="Règles_bison" displayName="Règles_bison" ref="BM10:BV32" totalsRowShown="0" headerRowDxfId="323" dataDxfId="321" headerRowBorderDxfId="322" tableBorderDxfId="320" totalsRowBorderDxfId="319">
  <autoFilter ref="BM10:BV32"/>
  <tableColumns count="10">
    <tableColumn id="1" name="Ration" dataDxfId="318"/>
    <tableColumn id="2" name="Aliment" dataDxfId="317"/>
    <tableColumn id="3" name="Specificite" dataDxfId="316"/>
    <tableColumn id="4" name="Valeur 36 et plus" dataDxfId="315"/>
    <tableColumn id="5" name="Valeur 24-36" dataDxfId="314"/>
    <tableColumn id="6" name="Valeur 18-24" dataDxfId="313"/>
    <tableColumn id="7" name="Valeur 12-18" dataDxfId="312"/>
    <tableColumn id="8" name="Valeur 6-12" dataDxfId="311"/>
    <tableColumn id="9" name="Valeur 3-6" dataDxfId="310"/>
    <tableColumn id="10" name="Valeur 0-3" dataDxfId="309"/>
  </tableColumns>
  <tableStyleInfo name="TableStyleMedium9" showFirstColumn="0" showLastColumn="0" showRowStripes="1" showColumnStripes="0"/>
</table>
</file>

<file path=xl/tables/table4.xml><?xml version="1.0" encoding="utf-8"?>
<table xmlns="http://schemas.openxmlformats.org/spreadsheetml/2006/main" id="7" name="Ration_complète_bovins" displayName="Ration_complète_bovins" ref="BB277:BJ278" totalsRowShown="0" headerRowDxfId="308" dataDxfId="306" headerRowBorderDxfId="307" tableBorderDxfId="305" totalsRowBorderDxfId="304">
  <autoFilter ref="BB277:BJ278"/>
  <tableColumns count="9">
    <tableColumn id="1" name="aliment" dataDxfId="303"/>
    <tableColumn id="2" name="Val 36 et plus" dataDxfId="302"/>
    <tableColumn id="3" name="Val 24-36" dataDxfId="301"/>
    <tableColumn id="4" name="Val 18-24" dataDxfId="300"/>
    <tableColumn id="5" name="Val 12-18" dataDxfId="299"/>
    <tableColumn id="6" name="Val 6-12" dataDxfId="298"/>
    <tableColumn id="7" name="Val 3-6" dataDxfId="297"/>
    <tableColumn id="8" name="Val 0-3" dataDxfId="296"/>
    <tableColumn id="9" name="somme" dataDxfId="295">
      <calculatedColumnFormula>SUM(Ration_complète_bovins[[Val 36 et plus]:[Val 0-3]])</calculatedColumnFormula>
    </tableColumn>
  </tableColumns>
  <tableStyleInfo name="TableStyleMedium9" showFirstColumn="0" showLastColumn="0" showRowStripes="1" showColumnStripes="0"/>
</table>
</file>

<file path=xl/tables/table5.xml><?xml version="1.0" encoding="utf-8"?>
<table xmlns="http://schemas.openxmlformats.org/spreadsheetml/2006/main" id="8" name="Ration_hivernale_complète_bovins" displayName="Ration_hivernale_complète_bovins" ref="BB326:BJ327" totalsRowShown="0" headerRowDxfId="294" dataDxfId="292" headerRowBorderDxfId="293" tableBorderDxfId="291" totalsRowBorderDxfId="290">
  <autoFilter ref="BB326:BJ327"/>
  <tableColumns count="9">
    <tableColumn id="1" name="aliment" dataDxfId="289"/>
    <tableColumn id="2" name="Val 36 et plus" dataDxfId="288"/>
    <tableColumn id="3" name="Val 24-36" dataDxfId="287"/>
    <tableColumn id="4" name="Val 18-24" dataDxfId="286"/>
    <tableColumn id="5" name="Val 12-18" dataDxfId="285"/>
    <tableColumn id="6" name="Val 6-12" dataDxfId="284"/>
    <tableColumn id="7" name="Val 3-6" dataDxfId="283"/>
    <tableColumn id="8" name="Val 0-3" dataDxfId="282"/>
    <tableColumn id="9" name="somme" dataDxfId="281">
      <calculatedColumnFormula>SUM(Ration_hivernale_complète_bovins[[Val 36 et plus]:[Val 0-3]])</calculatedColumnFormula>
    </tableColumn>
  </tableColumns>
  <tableStyleInfo name="TableStyleMedium9" showFirstColumn="0" showLastColumn="0" showRowStripes="1" showColumnStripes="0"/>
</table>
</file>

<file path=xl/tables/table6.xml><?xml version="1.0" encoding="utf-8"?>
<table xmlns="http://schemas.openxmlformats.org/spreadsheetml/2006/main" id="10" name="Ration_hivernale_complète_bisons" displayName="Ration_hivernale_complète_bisons" ref="BM109:BU110" totalsRowShown="0" headerRowDxfId="280" dataDxfId="278" headerRowBorderDxfId="279" tableBorderDxfId="277" totalsRowBorderDxfId="276">
  <autoFilter ref="BM109:BU110"/>
  <tableColumns count="9">
    <tableColumn id="1" name="aliment" dataDxfId="275"/>
    <tableColumn id="2" name="Val 36 et plus" dataDxfId="274"/>
    <tableColumn id="3" name="Val 24-36" dataDxfId="273"/>
    <tableColumn id="4" name="Val 18-24" dataDxfId="272"/>
    <tableColumn id="5" name="Val 12-18" dataDxfId="271"/>
    <tableColumn id="6" name="Val 6-12" dataDxfId="270"/>
    <tableColumn id="7" name="Val 3-6" dataDxfId="269"/>
    <tableColumn id="8" name="Val 0-3" dataDxfId="268"/>
    <tableColumn id="9" name="somme" dataDxfId="267">
      <calculatedColumnFormula>SUM(Ration_hivernale_complète_bisons[[Val 36 et plus]:[Val 0-3]])</calculatedColumnFormula>
    </tableColumn>
  </tableColumns>
  <tableStyleInfo name="TableStyleMedium9" showFirstColumn="0" showLastColumn="0" showRowStripes="1" showColumnStripes="0"/>
</table>
</file>

<file path=xl/tables/table7.xml><?xml version="1.0" encoding="utf-8"?>
<table xmlns="http://schemas.openxmlformats.org/spreadsheetml/2006/main" id="11" name="Règles_caprins" displayName="Règles_caprins" ref="BX48:CD102" totalsRowShown="0" headerRowDxfId="266" dataDxfId="264" headerRowBorderDxfId="265" tableBorderDxfId="263" totalsRowBorderDxfId="262">
  <autoFilter ref="BX48:CD102"/>
  <tableColumns count="7">
    <tableColumn id="1" name="Ration" dataDxfId="261"/>
    <tableColumn id="2" name="Aliment" dataDxfId="260"/>
    <tableColumn id="3" name="Specificite" dataDxfId="259"/>
    <tableColumn id="4" name="Valeur 12 et plus" dataDxfId="258"/>
    <tableColumn id="5" name="Valeur 6-12" dataDxfId="257"/>
    <tableColumn id="6" name="Valeur 3-6" dataDxfId="256"/>
    <tableColumn id="7" name="Valeur 0-3" dataDxfId="255"/>
  </tableColumns>
  <tableStyleInfo name="TableStyleMedium9" showFirstColumn="0" showLastColumn="0" showRowStripes="1" showColumnStripes="0"/>
</table>
</file>

<file path=xl/tables/table8.xml><?xml version="1.0" encoding="utf-8"?>
<table xmlns="http://schemas.openxmlformats.org/spreadsheetml/2006/main" id="44" name="cout_et_consommation_batiments" displayName="cout_et_consommation_batiments" ref="A6:D51" totalsRowShown="0" headerRowDxfId="254" dataDxfId="252" headerRowBorderDxfId="253" tableBorderDxfId="251" totalsRowBorderDxfId="250">
  <autoFilter ref="A6:D51"/>
  <tableColumns count="4">
    <tableColumn id="1" name="Batiments" dataDxfId="249"/>
    <tableColumn id="2" name="Unité" dataDxfId="248"/>
    <tableColumn id="3" name="Coût/unité" dataDxfId="247"/>
    <tableColumn id="4" name="kWh/unité/jour" dataDxfId="246"/>
  </tableColumns>
  <tableStyleInfo name="TableStyleMedium9" showFirstColumn="0" showLastColumn="0" showRowStripes="1" showColumnStripes="0"/>
</table>
</file>

<file path=xl/tables/table9.xml><?xml version="1.0" encoding="utf-8"?>
<table xmlns="http://schemas.openxmlformats.org/spreadsheetml/2006/main" id="53" name="niveau_equipement_batiments" displayName="niveau_equipement_batiments" ref="A54:C59" totalsRowShown="0" headerRowDxfId="245" dataDxfId="243" headerRowBorderDxfId="244" tableBorderDxfId="242" totalsRowBorderDxfId="241">
  <autoFilter ref="A54:C59"/>
  <tableColumns count="3">
    <tableColumn id="1" name="niveau d'équimement" dataDxfId="240"/>
    <tableColumn id="2" name="surcout construction" dataDxfId="239"/>
    <tableColumn id="3" name="économie d'énergie" dataDxfId="238"/>
  </tableColumns>
  <tableStyleInfo name="TableStyleMedium9" showFirstColumn="0" showLastColumn="0" showRowStripes="1" showColumnStripes="0"/>
</table>
</file>

<file path=xl/tables/table10.xml><?xml version="1.0" encoding="utf-8"?>
<table xmlns="http://schemas.openxmlformats.org/spreadsheetml/2006/main" id="54" name="place_necessaire_entrepots_aire_paille" displayName="place_necessaire_entrepots_aire_paille" ref="A61:B190" totalsRowShown="0" headerRowDxfId="237" dataDxfId="235" headerRowBorderDxfId="236" tableBorderDxfId="234" totalsRowBorderDxfId="233">
  <autoFilter ref="A61:B190"/>
  <tableColumns count="2">
    <tableColumn id="1" name="place nécessaire dans batiments" dataDxfId="232"/>
    <tableColumn id="2" name="surface (m²)" dataDxfId="231"/>
  </tableColumns>
  <tableStyleInfo name="TableStyleMedium9" showFirstColumn="0" showLastColumn="0" showRowStripes="1" showColumnStripes="0"/>
</table>
</file>

<file path=xl/tables/table11.xml><?xml version="1.0" encoding="utf-8"?>
<table xmlns="http://schemas.openxmlformats.org/spreadsheetml/2006/main" id="59" name="RèglesLitièreBovins" displayName="RèglesLitièreBovins" ref="BC29:BD34" totalsRowShown="0" headerRowDxfId="230" dataDxfId="228" headerRowBorderDxfId="229" tableBorderDxfId="227" totalsRowBorderDxfId="226">
  <autoFilter ref="BC29:BD34"/>
  <tableColumns count="2">
    <tableColumn id="1" name="Animaux" dataDxfId="225"/>
    <tableColumn id="2" name="Litière" dataDxfId="224"/>
  </tableColumns>
  <tableStyleInfo name="TableStyleMedium9" showFirstColumn="0" showLastColumn="0" showRowStripes="1" showColumnStripes="0"/>
</table>
</file>

<file path=xl/tables/table12.xml><?xml version="1.0" encoding="utf-8"?>
<table xmlns="http://schemas.openxmlformats.org/spreadsheetml/2006/main" id="60" name="RèglesLisierBovins" displayName="RèglesLisierBovins" ref="BF29:BG34" totalsRowShown="0" headerRowDxfId="223" dataDxfId="221" headerRowBorderDxfId="222" tableBorderDxfId="220" totalsRowBorderDxfId="219">
  <autoFilter ref="BF29:BG34"/>
  <tableColumns count="2">
    <tableColumn id="1" name="Animaux" dataDxfId="218"/>
    <tableColumn id="2" name="Lisier" dataDxfId="217"/>
  </tableColumns>
  <tableStyleInfo name="TableStyleMedium9" showFirstColumn="0" showLastColumn="0" showRowStripes="1" showColumnStripes="0"/>
</table>
</file>

<file path=xl/tables/table13.xml><?xml version="1.0" encoding="utf-8"?>
<table xmlns="http://schemas.openxmlformats.org/spreadsheetml/2006/main" id="61" name="LitièreBovins" displayName="LitièreBovins" ref="BB331:BD337" totalsRowCount="1" headerRowDxfId="216" dataDxfId="214" totalsRowDxfId="212" headerRowBorderDxfId="215" tableBorderDxfId="213" totalsRowBorderDxfId="211">
  <autoFilter ref="BB331:BD336"/>
  <tableColumns count="3">
    <tableColumn id="1" name="Animaux" totalsRowLabel="Total" dataDxfId="210" totalsRowDxfId="209"/>
    <tableColumn id="2" name="Litière tout bovins" totalsRowFunction="custom" dataDxfId="208" totalsRowDxfId="207">
      <totalsRowFormula>IF(AND(ChoixPaillageBovins=OUI,OR(ChoixBovinsPréHiver=NON,ChoixBovinsPréHiver="")),SUBTOTAL(109,LitièreBovins[Litière tout bovins]),0)</totalsRowFormula>
    </tableColumn>
    <tableColumn id="3" name="litière races laitières" totalsRowFunction="custom" dataDxfId="206" totalsRowDxfId="205">
      <calculatedColumnFormula>BD30*TotalVachesRacesLaitières</calculatedColumnFormula>
      <totalsRowFormula>IF(AND(ChoixPaillageBovins=OUI,ChoixBovinsPréHiver=OUI),SUBTOTAL(109,LitièreBovins[litière races laitières]),0)</totalsRowFormula>
    </tableColumn>
  </tableColumns>
  <tableStyleInfo name="TableStyleMedium9" showFirstColumn="0" showLastColumn="0" showRowStripes="1" showColumnStripes="0"/>
</table>
</file>

<file path=xl/tables/table14.xml><?xml version="1.0" encoding="utf-8"?>
<table xmlns="http://schemas.openxmlformats.org/spreadsheetml/2006/main" id="62" name="LisierBovins" displayName="LisierBovins" ref="BG331:BH337" totalsRowCount="1" headerRowDxfId="204" dataDxfId="202" totalsRowDxfId="200" headerRowBorderDxfId="203" tableBorderDxfId="201" totalsRowBorderDxfId="199">
  <autoFilter ref="BG331:BH336"/>
  <tableColumns count="2">
    <tableColumn id="1" name="Animaux" totalsRowLabel="Total" dataDxfId="198" totalsRowDxfId="197"/>
    <tableColumn id="2" name="Lisier" totalsRowFunction="sum" dataDxfId="196" totalsRowDxfId="195"/>
  </tableColumns>
  <tableStyleInfo name="TableStyleMedium9" showFirstColumn="0" showLastColumn="0" showRowStripes="1" showColumnStripes="0"/>
</table>
</file>

<file path=xl/tables/table15.xml><?xml version="1.0" encoding="utf-8"?>
<table xmlns="http://schemas.openxmlformats.org/spreadsheetml/2006/main" id="88" name="AnimauxAuPré" displayName="AnimauxAuPré" ref="O90:W104" totalsRowShown="0" headerRowDxfId="194" dataDxfId="192" headerRowBorderDxfId="193">
  <autoFilter ref="O90:W104"/>
  <tableColumns count="9">
    <tableColumn id="1" name="tranche d'ages" dataDxfId="191"/>
    <tableColumn id="2" name="bovins" dataDxfId="190">
      <calculatedColumnFormula>SUMIF(#REF!,BDD!P$90,#REF!)</calculatedColumnFormula>
    </tableColumn>
    <tableColumn id="3" name="ovins" dataDxfId="189">
      <calculatedColumnFormula>SUMIF(#REF!,BDD!Q$90,#REF!)</calculatedColumnFormula>
    </tableColumn>
    <tableColumn id="4" name="caprins" dataDxfId="188">
      <calculatedColumnFormula>SUMIF(#REF!,BDD!R$90,#REF!)</calculatedColumnFormula>
    </tableColumn>
    <tableColumn id="5" name="bisons" dataDxfId="187">
      <calculatedColumnFormula>SUMIF(#REF!,BDD!S$90,#REF!)</calculatedColumnFormula>
    </tableColumn>
    <tableColumn id="6" name="daims" dataDxfId="186">
      <calculatedColumnFormula>SUMIF(#REF!,BDD!T$90,#REF!)</calculatedColumnFormula>
    </tableColumn>
    <tableColumn id="7" name="chevaux de selle" dataDxfId="185">
      <calculatedColumnFormula>SUMIF(#REF!,BDD!U$90,#REF!)</calculatedColumnFormula>
    </tableColumn>
    <tableColumn id="8" name="chevaux de trait" dataDxfId="184">
      <calculatedColumnFormula>SUMIF(#REF!,BDD!V$90,#REF!)</calculatedColumnFormula>
    </tableColumn>
    <tableColumn id="9" name="poneys" dataDxfId="183">
      <calculatedColumnFormula>SUMIF(#REF!,BDD!W$90,#REF!)</calculatedColumnFormula>
    </tableColumn>
  </tableColumns>
  <tableStyleInfo name="TableStyleMedium9" showFirstColumn="0" showLastColumn="0" showRowStripes="1" showColumnStripes="0"/>
</table>
</file>

<file path=xl/tables/table16.xml><?xml version="1.0" encoding="utf-8"?>
<table xmlns="http://schemas.openxmlformats.org/spreadsheetml/2006/main" id="12" name="Ration_complète_caprins" displayName="Ration_complète_caprins" ref="BX181:CG182" totalsRowShown="0" headerRowDxfId="182" dataDxfId="180" headerRowBorderDxfId="181" tableBorderDxfId="179" totalsRowBorderDxfId="178">
  <autoFilter ref="BX181:CG182"/>
  <tableColumns count="10">
    <tableColumn id="1" name="aliment" dataDxfId="177"/>
    <tableColumn id="2" name="Valeur 12 et plus (M)" dataDxfId="176"/>
    <tableColumn id="3" name="Valeur 12 et plus (F)" dataDxfId="175"/>
    <tableColumn id="4" name="Valeur 6-12 (M)" dataDxfId="174"/>
    <tableColumn id="5" name="Valeur 6-12 (F)" dataDxfId="173"/>
    <tableColumn id="6" name="Valeur 3-6 (M)" dataDxfId="172"/>
    <tableColumn id="7" name="Valeur 3-6 (F)" dataDxfId="171"/>
    <tableColumn id="8" name="Valeur 0-3 (M)" dataDxfId="170"/>
    <tableColumn id="9" name="Valeur 0-3 (F)" dataDxfId="169"/>
    <tableColumn id="10" name="somme" dataDxfId="168">
      <calculatedColumnFormula>SUM(Ration_complète_caprins[[Valeur 12 et plus (M)]:[Valeur 0-3 (F)]])</calculatedColumnFormula>
    </tableColumn>
  </tableColumns>
  <tableStyleInfo name="TableStyleMedium9" showFirstColumn="0" showLastColumn="0" showRowStripes="1" showColumnStripes="0"/>
</table>
</file>

<file path=xl/tables/table17.xml><?xml version="1.0" encoding="utf-8"?>
<table xmlns="http://schemas.openxmlformats.org/spreadsheetml/2006/main" id="64" name="LitièreCaprins" displayName="LitièreCaprins" ref="BX186:BY192" totalsRowCount="1" headerRowDxfId="167" dataDxfId="165" totalsRowDxfId="163" headerRowBorderDxfId="166" tableBorderDxfId="164" totalsRowBorderDxfId="162">
  <autoFilter ref="BX186:BY191"/>
  <tableColumns count="2">
    <tableColumn id="1" name="Animaux" totalsRowLabel="Total" dataDxfId="161" totalsRowDxfId="160"/>
    <tableColumn id="2" name="Litière" totalsRowFunction="custom" dataDxfId="159" totalsRowDxfId="158">
      <totalsRowFormula>IF(ChoixPaillageCaprins=OUI,SUBTOTAL(109,LitièreCaprins[Litière]),0)</totalsRowFormula>
    </tableColumn>
  </tableColumns>
  <tableStyleInfo name="TableStyleMedium9" showFirstColumn="0" showLastColumn="0" showRowStripes="1" showColumnStripes="0"/>
</table>
</file>

<file path=xl/tables/table18.xml><?xml version="1.0" encoding="utf-8"?>
<table xmlns="http://schemas.openxmlformats.org/spreadsheetml/2006/main" id="56" name="Tableau56" displayName="Tableau56" ref="F6:K17" totalsRowShown="0" headerRowDxfId="157" dataDxfId="155" headerRowBorderDxfId="156" tableBorderDxfId="154" totalsRowBorderDxfId="153">
  <autoFilter ref="F6:K17"/>
  <tableColumns count="6">
    <tableColumn id="1" name=" " dataDxfId="152"/>
    <tableColumn id="2" name="  " dataDxfId="151"/>
    <tableColumn id="3" name="semence (kg/ha)" dataDxfId="150"/>
    <tableColumn id="4" name="prix au 2 juillet saison 63 (€/kg)" dataDxfId="149"/>
    <tableColumn id="5" name="prix vente récolte (€/t)" dataDxfId="148"/>
    <tableColumn id="6" name="paille/foin (€/t)" dataDxfId="147"/>
  </tableColumns>
  <tableStyleInfo name="TableStyleMedium9" showFirstColumn="0" showLastColumn="0" showRowStripes="1" showColumnStripes="0"/>
</table>
</file>

<file path=xl/tables/table19.xml><?xml version="1.0" encoding="utf-8"?>
<table xmlns="http://schemas.openxmlformats.org/spreadsheetml/2006/main" id="87" name="Tableau87" displayName="Tableau87" ref="F19:G21" totalsRowShown="0" headerRowDxfId="146" headerRowBorderDxfId="145" tableBorderDxfId="144" totalsRowBorderDxfId="143">
  <autoFilter ref="F19:G21"/>
  <tableColumns count="2">
    <tableColumn id="1" name="Fongicide :" dataDxfId="142"/>
    <tableColumn id="2" name=" " dataDxfId="141"/>
  </tableColumns>
  <tableStyleInfo name="TableStyleMedium9" showFirstColumn="0" showLastColumn="0" showRowStripes="1" showColumnStripes="0"/>
</table>
</file>

<file path=xl/tables/table20.xml><?xml version="1.0" encoding="utf-8"?>
<table xmlns="http://schemas.openxmlformats.org/spreadsheetml/2006/main" id="89" name="Tableau89" displayName="Tableau89" ref="F23:G25" totalsRowShown="0" headerRowDxfId="140" headerRowBorderDxfId="139" tableBorderDxfId="138" totalsRowBorderDxfId="137">
  <autoFilter ref="F23:G25"/>
  <tableColumns count="2">
    <tableColumn id="1" name="Herbicide :" dataDxfId="136"/>
    <tableColumn id="2" name=" " dataDxfId="135"/>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table" Target="../tables/table2.xml"/><Relationship Id="rId21" Type="http://schemas.openxmlformats.org/officeDocument/2006/relationships/table" Target="../tables/table20.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 Type="http://schemas.openxmlformats.org/officeDocument/2006/relationships/drawing" Target="../drawings/drawing1.xml"/><Relationship Id="rId16" Type="http://schemas.openxmlformats.org/officeDocument/2006/relationships/table" Target="../tables/table15.xml"/><Relationship Id="rId20" Type="http://schemas.openxmlformats.org/officeDocument/2006/relationships/table" Target="../tables/table19.xml"/><Relationship Id="rId1" Type="http://schemas.openxmlformats.org/officeDocument/2006/relationships/printerSettings" Target="../printerSettings/printerSettings3.bin"/><Relationship Id="rId6" Type="http://schemas.openxmlformats.org/officeDocument/2006/relationships/table" Target="../tables/table5.xml"/><Relationship Id="rId11" Type="http://schemas.openxmlformats.org/officeDocument/2006/relationships/table" Target="../tables/table10.xml"/><Relationship Id="rId5" Type="http://schemas.openxmlformats.org/officeDocument/2006/relationships/table" Target="../tables/table4.xml"/><Relationship Id="rId15" Type="http://schemas.openxmlformats.org/officeDocument/2006/relationships/table" Target="../tables/table14.xml"/><Relationship Id="rId10" Type="http://schemas.openxmlformats.org/officeDocument/2006/relationships/table" Target="../tables/table9.xml"/><Relationship Id="rId19" Type="http://schemas.openxmlformats.org/officeDocument/2006/relationships/table" Target="../tables/table18.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CC280"/>
  <sheetViews>
    <sheetView zoomScaleNormal="100" workbookViewId="0">
      <selection activeCell="J21" sqref="J21:K21"/>
    </sheetView>
  </sheetViews>
  <sheetFormatPr baseColWidth="10" defaultColWidth="9.140625" defaultRowHeight="12.75" x14ac:dyDescent="0.2"/>
  <cols>
    <col min="1" max="1" width="19.28515625" style="89" customWidth="1"/>
    <col min="2" max="2" width="33.42578125" style="89" bestFit="1" customWidth="1"/>
    <col min="3" max="3" width="16.28515625" style="89" customWidth="1"/>
    <col min="4" max="4" width="22.5703125" style="89" customWidth="1"/>
    <col min="5" max="5" width="17.140625" style="89" bestFit="1" customWidth="1"/>
    <col min="6" max="6" width="16.42578125" style="89" bestFit="1" customWidth="1"/>
    <col min="7" max="7" width="13.85546875" style="89" customWidth="1"/>
    <col min="8" max="8" width="17.140625" style="89" bestFit="1" customWidth="1"/>
    <col min="9" max="9" width="9.140625" style="89" customWidth="1"/>
    <col min="10" max="10" width="20.5703125" style="89" bestFit="1" customWidth="1"/>
    <col min="11" max="12" width="9.140625" style="89" customWidth="1"/>
    <col min="13" max="13" width="27.42578125" style="17" bestFit="1" customWidth="1"/>
    <col min="14" max="14" width="19" style="85" customWidth="1"/>
    <col min="15" max="15" width="9.140625" style="85"/>
    <col min="16" max="16" width="9.140625" style="147"/>
    <col min="17" max="35" width="9.140625" style="56"/>
    <col min="36" max="36" width="9.140625" style="86"/>
    <col min="37" max="37" width="9.140625" style="88"/>
    <col min="38" max="40" width="9.140625" style="86"/>
    <col min="41" max="79" width="9.140625" style="17"/>
    <col min="80" max="16384" width="9.140625" style="89"/>
  </cols>
  <sheetData>
    <row r="1" spans="1:81" ht="12.75" customHeight="1" x14ac:dyDescent="0.2">
      <c r="A1" s="82"/>
      <c r="B1" s="39" t="s">
        <v>456</v>
      </c>
      <c r="C1" s="423" t="s">
        <v>92</v>
      </c>
      <c r="D1" s="424"/>
      <c r="E1" s="15"/>
      <c r="F1" s="15"/>
      <c r="G1" s="15"/>
      <c r="H1" s="83"/>
      <c r="I1" s="84"/>
      <c r="J1" s="84"/>
      <c r="K1" s="84"/>
      <c r="L1" s="84"/>
      <c r="M1" s="84"/>
      <c r="N1" s="84"/>
      <c r="P1" s="86"/>
      <c r="Y1" s="87"/>
      <c r="AJ1" s="56"/>
      <c r="AK1" s="86"/>
      <c r="AL1" s="88"/>
      <c r="AO1" s="86"/>
    </row>
    <row r="2" spans="1:81" ht="12.75" customHeight="1" x14ac:dyDescent="0.2">
      <c r="A2" s="15"/>
      <c r="B2" s="15"/>
      <c r="C2" s="15"/>
      <c r="D2" s="15"/>
      <c r="E2" s="15"/>
      <c r="F2" s="15"/>
      <c r="G2" s="15"/>
      <c r="H2" s="15"/>
      <c r="I2" s="15"/>
      <c r="J2" s="15"/>
      <c r="K2" s="15"/>
      <c r="L2" s="15"/>
      <c r="M2" s="15"/>
      <c r="N2" s="15"/>
      <c r="P2" s="86"/>
      <c r="V2" s="90"/>
      <c r="AJ2" s="56"/>
      <c r="AK2" s="86"/>
      <c r="AL2" s="88"/>
      <c r="AO2" s="86"/>
    </row>
    <row r="3" spans="1:81" ht="12.75" customHeight="1" x14ac:dyDescent="0.2">
      <c r="A3" s="15"/>
      <c r="B3" s="15"/>
      <c r="C3" s="91"/>
      <c r="D3" s="77" t="s">
        <v>234</v>
      </c>
      <c r="E3" s="15"/>
      <c r="F3" s="15"/>
      <c r="G3" s="15"/>
      <c r="H3" s="15"/>
      <c r="I3" s="15"/>
      <c r="J3" s="15"/>
      <c r="K3" s="15"/>
      <c r="L3" s="15"/>
      <c r="M3" s="15"/>
      <c r="N3" s="15"/>
      <c r="P3" s="86"/>
      <c r="V3" s="90"/>
      <c r="AJ3" s="56"/>
      <c r="AK3" s="86"/>
      <c r="AL3" s="88"/>
      <c r="AO3" s="86"/>
    </row>
    <row r="4" spans="1:81" ht="12.75" customHeight="1" x14ac:dyDescent="0.2">
      <c r="A4" s="15"/>
      <c r="B4" s="15"/>
      <c r="C4" s="15"/>
      <c r="D4" s="92" t="s">
        <v>298</v>
      </c>
      <c r="E4" s="15"/>
      <c r="F4" s="15"/>
      <c r="G4" s="1"/>
      <c r="H4" s="15"/>
      <c r="I4" s="15"/>
      <c r="J4" s="15"/>
      <c r="K4" s="15"/>
      <c r="L4" s="15"/>
      <c r="M4" s="15"/>
      <c r="N4" s="15"/>
      <c r="P4" s="86"/>
      <c r="V4" s="90"/>
      <c r="AD4" s="90"/>
      <c r="AE4" s="90"/>
      <c r="AF4" s="90"/>
      <c r="AG4" s="90"/>
      <c r="AH4" s="90"/>
      <c r="AJ4" s="56"/>
      <c r="AK4" s="86"/>
      <c r="AL4" s="88"/>
      <c r="AO4" s="86"/>
    </row>
    <row r="5" spans="1:81" ht="12.75" customHeight="1" thickBot="1" x14ac:dyDescent="0.25">
      <c r="A5" s="15"/>
      <c r="B5" s="15"/>
      <c r="C5" s="15"/>
      <c r="D5" s="15"/>
      <c r="E5" s="15"/>
      <c r="F5" s="15"/>
      <c r="G5" s="15"/>
      <c r="H5" s="15"/>
      <c r="I5" s="15"/>
      <c r="J5" s="15"/>
      <c r="K5" s="15"/>
      <c r="L5" s="15"/>
      <c r="M5" s="15"/>
      <c r="N5" s="15"/>
      <c r="O5" s="17"/>
      <c r="P5" s="85"/>
      <c r="Q5" s="85"/>
      <c r="R5" s="86"/>
      <c r="AC5" s="58"/>
      <c r="AD5" s="58"/>
      <c r="AE5" s="58"/>
      <c r="AJ5" s="56"/>
      <c r="AK5" s="56"/>
      <c r="AL5" s="56"/>
      <c r="AN5" s="88"/>
      <c r="AO5" s="86"/>
      <c r="AP5" s="86"/>
      <c r="AQ5" s="86"/>
    </row>
    <row r="6" spans="1:81" ht="12.75" customHeight="1" thickBot="1" x14ac:dyDescent="0.25">
      <c r="A6" s="93" t="s">
        <v>254</v>
      </c>
      <c r="B6" s="94"/>
      <c r="C6" s="94"/>
      <c r="D6" s="94"/>
      <c r="E6" s="94"/>
      <c r="F6" s="94"/>
      <c r="G6" s="94"/>
      <c r="H6" s="94"/>
      <c r="I6" s="94"/>
      <c r="J6" s="94"/>
      <c r="K6" s="94"/>
      <c r="L6" s="94"/>
      <c r="M6" s="94"/>
      <c r="N6" s="95"/>
      <c r="O6" s="96"/>
      <c r="P6" s="17"/>
      <c r="Q6" s="17"/>
      <c r="R6" s="85"/>
      <c r="S6" s="85"/>
      <c r="T6" s="86"/>
      <c r="AE6" s="58"/>
      <c r="AF6" s="58"/>
      <c r="AG6" s="58"/>
      <c r="AJ6" s="56"/>
      <c r="AK6" s="56"/>
      <c r="AL6" s="56"/>
      <c r="AM6" s="56"/>
      <c r="AN6" s="56"/>
      <c r="AO6" s="86"/>
      <c r="AP6" s="88"/>
      <c r="AQ6" s="86"/>
      <c r="AR6" s="86"/>
      <c r="AS6" s="86"/>
      <c r="CB6" s="17"/>
      <c r="CC6" s="17"/>
    </row>
    <row r="7" spans="1:81" ht="12.75" customHeight="1" thickBot="1" x14ac:dyDescent="0.25">
      <c r="A7" s="97" t="str">
        <f>"Total : "&amp;SUM(TotalBovins)</f>
        <v>Total : 140</v>
      </c>
      <c r="B7" s="47"/>
      <c r="C7" s="78" t="s">
        <v>11</v>
      </c>
      <c r="D7" s="78" t="s">
        <v>454</v>
      </c>
      <c r="E7" s="78" t="s">
        <v>829</v>
      </c>
      <c r="F7" s="78" t="s">
        <v>455</v>
      </c>
      <c r="G7" s="78" t="s">
        <v>10</v>
      </c>
      <c r="H7" s="232"/>
      <c r="I7" s="47"/>
      <c r="J7" s="420" t="s">
        <v>64</v>
      </c>
      <c r="K7" s="421"/>
      <c r="L7" s="47"/>
      <c r="M7" s="98" t="s">
        <v>799</v>
      </c>
      <c r="N7" s="43"/>
      <c r="O7" s="96"/>
      <c r="P7" s="17"/>
      <c r="Q7" s="17"/>
      <c r="R7" s="17"/>
      <c r="S7" s="17"/>
      <c r="T7" s="57"/>
      <c r="Z7" s="90"/>
      <c r="AE7" s="58"/>
      <c r="AF7" s="58"/>
      <c r="AG7" s="58"/>
      <c r="AJ7" s="56"/>
      <c r="AK7" s="56"/>
      <c r="AL7" s="56"/>
      <c r="AM7" s="56"/>
      <c r="AN7" s="56"/>
      <c r="AO7" s="86"/>
      <c r="AP7" s="88"/>
      <c r="AQ7" s="86"/>
      <c r="AR7" s="86"/>
      <c r="AS7" s="86"/>
      <c r="CB7" s="17"/>
      <c r="CC7" s="17"/>
    </row>
    <row r="8" spans="1:81" ht="12.75" customHeight="1" x14ac:dyDescent="0.2">
      <c r="A8" s="97"/>
      <c r="B8" s="20" t="s">
        <v>258</v>
      </c>
      <c r="C8" s="99">
        <v>10</v>
      </c>
      <c r="D8" s="99"/>
      <c r="E8" s="4" t="s">
        <v>830</v>
      </c>
      <c r="F8" s="100">
        <f>C8-D8</f>
        <v>10</v>
      </c>
      <c r="G8" s="100" t="e">
        <f>NbreBovinsMâlesAuPré_0_3Mois</f>
        <v>#REF!</v>
      </c>
      <c r="H8" s="144"/>
      <c r="I8" s="47"/>
      <c r="J8" s="418" t="s">
        <v>90</v>
      </c>
      <c r="K8" s="419"/>
      <c r="L8" s="47"/>
      <c r="M8" s="226"/>
      <c r="N8" s="43"/>
      <c r="O8" s="96"/>
      <c r="P8" s="17"/>
      <c r="Q8" s="17"/>
      <c r="R8" s="17"/>
      <c r="S8" s="17"/>
      <c r="T8" s="59"/>
      <c r="U8" s="60"/>
      <c r="V8" s="60"/>
      <c r="W8" s="60"/>
      <c r="X8" s="60"/>
      <c r="Y8" s="60"/>
      <c r="Z8" s="90"/>
      <c r="AE8" s="58"/>
      <c r="AF8" s="58"/>
      <c r="AG8" s="58"/>
      <c r="AJ8" s="56"/>
      <c r="AK8" s="56"/>
      <c r="AL8" s="56"/>
      <c r="AM8" s="56"/>
      <c r="AN8" s="56"/>
      <c r="AO8" s="86"/>
      <c r="AP8" s="88"/>
      <c r="AQ8" s="86"/>
      <c r="AR8" s="86"/>
      <c r="AS8" s="86"/>
      <c r="CB8" s="17"/>
      <c r="CC8" s="17"/>
    </row>
    <row r="9" spans="1:81" ht="12.75" customHeight="1" thickBot="1" x14ac:dyDescent="0.25">
      <c r="A9" s="97"/>
      <c r="B9" s="21" t="s">
        <v>259</v>
      </c>
      <c r="C9" s="101">
        <v>10</v>
      </c>
      <c r="D9" s="101"/>
      <c r="E9" s="230" t="s">
        <v>830</v>
      </c>
      <c r="F9" s="102">
        <f t="shared" ref="F9:F21" si="0">C9-D9</f>
        <v>10</v>
      </c>
      <c r="G9" s="102" t="e">
        <f>NbreBovinsFemellesAuPré_0_3Mois</f>
        <v>#REF!</v>
      </c>
      <c r="H9" s="144"/>
      <c r="I9" s="47"/>
      <c r="J9" s="47"/>
      <c r="K9" s="47"/>
      <c r="L9" s="47"/>
      <c r="M9" s="47"/>
      <c r="N9" s="43"/>
      <c r="O9" s="96"/>
      <c r="P9" s="17"/>
      <c r="Q9" s="17"/>
      <c r="R9" s="17"/>
      <c r="S9" s="17"/>
      <c r="T9" s="59"/>
      <c r="U9" s="60"/>
      <c r="V9" s="60"/>
      <c r="W9" s="60"/>
      <c r="X9" s="60"/>
      <c r="Y9" s="60"/>
      <c r="Z9" s="90"/>
      <c r="AE9" s="58"/>
      <c r="AF9" s="58"/>
      <c r="AG9" s="58"/>
      <c r="AH9" s="90"/>
      <c r="AI9" s="90"/>
      <c r="AJ9" s="90"/>
      <c r="AK9" s="90"/>
      <c r="AL9" s="90"/>
      <c r="AM9" s="56"/>
      <c r="AN9" s="56"/>
      <c r="AO9" s="86"/>
      <c r="AP9" s="88"/>
      <c r="AQ9" s="86"/>
      <c r="AR9" s="86"/>
      <c r="AS9" s="86"/>
      <c r="CB9" s="17"/>
      <c r="CC9" s="17"/>
    </row>
    <row r="10" spans="1:81" ht="12.75" customHeight="1" x14ac:dyDescent="0.2">
      <c r="A10" s="97"/>
      <c r="B10" s="22" t="s">
        <v>260</v>
      </c>
      <c r="C10" s="104">
        <v>10</v>
      </c>
      <c r="D10" s="104"/>
      <c r="E10" s="4" t="s">
        <v>830</v>
      </c>
      <c r="F10" s="100">
        <f t="shared" si="0"/>
        <v>10</v>
      </c>
      <c r="G10" s="100" t="e">
        <f>NbreBovinsMâlesAuPré_3_6Mois</f>
        <v>#REF!</v>
      </c>
      <c r="H10" s="144"/>
      <c r="I10" s="47"/>
      <c r="J10" s="420" t="s">
        <v>255</v>
      </c>
      <c r="K10" s="421"/>
      <c r="L10" s="47"/>
      <c r="M10" s="98" t="s">
        <v>800</v>
      </c>
      <c r="N10" s="43"/>
      <c r="O10" s="96"/>
      <c r="P10" s="17"/>
      <c r="Q10" s="17"/>
      <c r="R10" s="17"/>
      <c r="S10" s="17"/>
      <c r="T10" s="61"/>
      <c r="U10" s="60"/>
      <c r="V10" s="60"/>
      <c r="W10" s="60"/>
      <c r="X10" s="60"/>
      <c r="Y10" s="60"/>
      <c r="Z10" s="90"/>
      <c r="AE10" s="58"/>
      <c r="AF10" s="58"/>
      <c r="AG10" s="58"/>
      <c r="AH10" s="90"/>
      <c r="AI10" s="90"/>
      <c r="AJ10" s="90"/>
      <c r="AK10" s="90"/>
      <c r="AL10" s="90"/>
      <c r="AM10" s="56"/>
      <c r="AN10" s="56"/>
      <c r="AO10" s="86"/>
      <c r="AP10" s="88"/>
      <c r="AQ10" s="86"/>
      <c r="AR10" s="86"/>
      <c r="AS10" s="86"/>
      <c r="CB10" s="17"/>
      <c r="CC10" s="17"/>
    </row>
    <row r="11" spans="1:81" ht="12.75" customHeight="1" thickBot="1" x14ac:dyDescent="0.25">
      <c r="A11" s="97"/>
      <c r="B11" s="23" t="s">
        <v>261</v>
      </c>
      <c r="C11" s="105">
        <v>10</v>
      </c>
      <c r="D11" s="122"/>
      <c r="E11" s="230" t="s">
        <v>830</v>
      </c>
      <c r="F11" s="102">
        <f t="shared" si="0"/>
        <v>10</v>
      </c>
      <c r="G11" s="102" t="e">
        <f>NbreBovinsFemellesAuPré_3_6Mois</f>
        <v>#REF!</v>
      </c>
      <c r="H11" s="144"/>
      <c r="I11" s="47"/>
      <c r="J11" s="418" t="s">
        <v>435</v>
      </c>
      <c r="K11" s="419"/>
      <c r="L11" s="47"/>
      <c r="M11" s="2"/>
      <c r="N11" s="43"/>
      <c r="O11" s="96"/>
      <c r="P11" s="17"/>
      <c r="Q11" s="17"/>
      <c r="R11" s="17"/>
      <c r="S11" s="17"/>
      <c r="T11" s="61"/>
      <c r="U11" s="60"/>
      <c r="V11" s="60"/>
      <c r="W11" s="60"/>
      <c r="X11" s="60"/>
      <c r="Y11" s="60"/>
      <c r="Z11" s="90"/>
      <c r="AE11" s="58"/>
      <c r="AF11" s="58"/>
      <c r="AG11" s="58"/>
      <c r="AH11" s="90"/>
      <c r="AI11" s="90"/>
      <c r="AJ11" s="90"/>
      <c r="AK11" s="90"/>
      <c r="AL11" s="90"/>
      <c r="AM11" s="56"/>
      <c r="AN11" s="56"/>
      <c r="AO11" s="86"/>
      <c r="AP11" s="88"/>
      <c r="AQ11" s="86"/>
      <c r="AR11" s="86"/>
      <c r="AS11" s="86"/>
      <c r="CB11" s="17"/>
      <c r="CC11" s="17"/>
    </row>
    <row r="12" spans="1:81" ht="12.75" customHeight="1" x14ac:dyDescent="0.2">
      <c r="A12" s="97"/>
      <c r="B12" s="24" t="s">
        <v>262</v>
      </c>
      <c r="C12" s="99">
        <v>10</v>
      </c>
      <c r="D12" s="123"/>
      <c r="E12" s="4" t="s">
        <v>830</v>
      </c>
      <c r="F12" s="100">
        <f t="shared" si="0"/>
        <v>10</v>
      </c>
      <c r="G12" s="100" t="e">
        <f>NbreBovinsMâlesAuPré_6_12Mois</f>
        <v>#REF!</v>
      </c>
      <c r="H12" s="144"/>
      <c r="I12" s="47"/>
      <c r="J12" s="47"/>
      <c r="K12" s="47"/>
      <c r="L12" s="47"/>
      <c r="M12" s="103" t="str">
        <f>IF(M11=OUI,"Ration hivernale","")</f>
        <v/>
      </c>
      <c r="N12" s="43"/>
      <c r="O12" s="96"/>
      <c r="P12" s="17"/>
      <c r="Q12" s="17"/>
      <c r="R12" s="17"/>
      <c r="S12" s="17"/>
      <c r="T12" s="61"/>
      <c r="U12" s="60"/>
      <c r="V12" s="60"/>
      <c r="W12" s="60"/>
      <c r="X12" s="60"/>
      <c r="Y12" s="60"/>
      <c r="Z12" s="90"/>
      <c r="AE12" s="58"/>
      <c r="AF12" s="58"/>
      <c r="AG12" s="58"/>
      <c r="AH12" s="90"/>
      <c r="AI12" s="90"/>
      <c r="AJ12" s="90"/>
      <c r="AK12" s="90"/>
      <c r="AL12" s="90"/>
      <c r="AM12" s="56"/>
      <c r="AN12" s="56"/>
      <c r="AO12" s="86"/>
      <c r="AP12" s="88"/>
      <c r="AQ12" s="86"/>
      <c r="AR12" s="86"/>
      <c r="AS12" s="86"/>
      <c r="CB12" s="17"/>
      <c r="CC12" s="17"/>
    </row>
    <row r="13" spans="1:81" ht="12.75" customHeight="1" thickBot="1" x14ac:dyDescent="0.25">
      <c r="A13" s="97"/>
      <c r="B13" s="21" t="s">
        <v>263</v>
      </c>
      <c r="C13" s="101">
        <v>10</v>
      </c>
      <c r="D13" s="230"/>
      <c r="E13" s="230" t="s">
        <v>830</v>
      </c>
      <c r="F13" s="102">
        <f t="shared" si="0"/>
        <v>10</v>
      </c>
      <c r="G13" s="102" t="e">
        <f>NbreBovinsFemellesAuPré_6_12Mois</f>
        <v>#REF!</v>
      </c>
      <c r="H13" s="144"/>
      <c r="I13" s="47"/>
      <c r="J13" s="420" t="s">
        <v>805</v>
      </c>
      <c r="K13" s="421"/>
      <c r="L13" s="47"/>
      <c r="M13" s="98" t="s">
        <v>739</v>
      </c>
      <c r="N13" s="43"/>
      <c r="O13" s="96"/>
      <c r="P13" s="17"/>
      <c r="Q13" s="17"/>
      <c r="R13" s="17"/>
      <c r="S13" s="17"/>
      <c r="T13" s="61"/>
      <c r="U13" s="60"/>
      <c r="V13" s="60"/>
      <c r="W13" s="60"/>
      <c r="X13" s="60"/>
      <c r="Y13" s="60"/>
      <c r="Z13" s="90"/>
      <c r="AE13" s="58"/>
      <c r="AF13" s="58"/>
      <c r="AG13" s="58"/>
      <c r="AH13" s="90"/>
      <c r="AI13" s="90"/>
      <c r="AJ13" s="90"/>
      <c r="AK13" s="90"/>
      <c r="AL13" s="90"/>
      <c r="AM13" s="56"/>
      <c r="AN13" s="56"/>
      <c r="AO13" s="86"/>
      <c r="AP13" s="88"/>
      <c r="AQ13" s="86"/>
      <c r="AR13" s="86"/>
      <c r="AS13" s="86"/>
      <c r="CB13" s="17"/>
      <c r="CC13" s="17"/>
    </row>
    <row r="14" spans="1:81" ht="12.75" customHeight="1" x14ac:dyDescent="0.2">
      <c r="A14" s="97"/>
      <c r="B14" s="22" t="s">
        <v>264</v>
      </c>
      <c r="C14" s="104">
        <v>10</v>
      </c>
      <c r="D14" s="121"/>
      <c r="E14" s="4" t="s">
        <v>830</v>
      </c>
      <c r="F14" s="100">
        <f t="shared" si="0"/>
        <v>10</v>
      </c>
      <c r="G14" s="100" t="e">
        <f>NbreBovinsMâlesAuPré_12_18Mois</f>
        <v>#REF!</v>
      </c>
      <c r="H14" s="144"/>
      <c r="I14" s="47"/>
      <c r="J14" s="418" t="s">
        <v>9</v>
      </c>
      <c r="K14" s="419"/>
      <c r="L14" s="47"/>
      <c r="M14" s="2"/>
      <c r="N14" s="43"/>
      <c r="O14" s="96"/>
      <c r="P14" s="17"/>
      <c r="Q14" s="17"/>
      <c r="R14" s="17"/>
      <c r="S14" s="17"/>
      <c r="T14" s="61"/>
      <c r="U14" s="60"/>
      <c r="V14" s="60"/>
      <c r="W14" s="60"/>
      <c r="X14" s="60"/>
      <c r="Y14" s="60"/>
      <c r="AH14" s="90"/>
      <c r="AI14" s="90"/>
      <c r="AJ14" s="90"/>
      <c r="AK14" s="90"/>
      <c r="AL14" s="90"/>
      <c r="AM14" s="56"/>
      <c r="AN14" s="56"/>
      <c r="AO14" s="86"/>
      <c r="AP14" s="88"/>
      <c r="AQ14" s="86"/>
      <c r="AR14" s="86"/>
      <c r="AS14" s="86"/>
      <c r="CB14" s="17"/>
      <c r="CC14" s="17"/>
    </row>
    <row r="15" spans="1:81" ht="12.75" customHeight="1" thickBot="1" x14ac:dyDescent="0.25">
      <c r="A15" s="97"/>
      <c r="B15" s="23" t="s">
        <v>265</v>
      </c>
      <c r="C15" s="105">
        <v>10</v>
      </c>
      <c r="D15" s="122"/>
      <c r="E15" s="230" t="s">
        <v>830</v>
      </c>
      <c r="F15" s="102">
        <f t="shared" si="0"/>
        <v>10</v>
      </c>
      <c r="G15" s="102" t="e">
        <f>NbreBovinsFemellesAuPré_12_18Mois</f>
        <v>#REF!</v>
      </c>
      <c r="H15" s="144"/>
      <c r="I15" s="47"/>
      <c r="J15" s="103"/>
      <c r="K15" s="47"/>
      <c r="L15" s="47"/>
      <c r="M15" s="103"/>
      <c r="N15" s="43"/>
      <c r="O15" s="96"/>
      <c r="P15" s="17"/>
      <c r="Q15" s="17"/>
      <c r="R15" s="17"/>
      <c r="S15" s="17"/>
      <c r="T15" s="61"/>
      <c r="U15" s="60"/>
      <c r="V15" s="60"/>
      <c r="W15" s="60"/>
      <c r="X15" s="60"/>
      <c r="Y15" s="60"/>
      <c r="AH15" s="90"/>
      <c r="AI15" s="90"/>
      <c r="AJ15" s="90"/>
      <c r="AK15" s="90"/>
      <c r="AL15" s="90"/>
      <c r="AM15" s="56"/>
      <c r="AN15" s="56"/>
      <c r="AO15" s="86"/>
      <c r="AP15" s="88"/>
      <c r="AQ15" s="86"/>
      <c r="AR15" s="86"/>
      <c r="AS15" s="86"/>
      <c r="CB15" s="17"/>
      <c r="CC15" s="17"/>
    </row>
    <row r="16" spans="1:81" ht="12.75" customHeight="1" x14ac:dyDescent="0.2">
      <c r="A16" s="97"/>
      <c r="B16" s="24" t="s">
        <v>266</v>
      </c>
      <c r="C16" s="99">
        <v>10</v>
      </c>
      <c r="D16" s="123"/>
      <c r="E16" s="4" t="s">
        <v>830</v>
      </c>
      <c r="F16" s="100">
        <f t="shared" si="0"/>
        <v>10</v>
      </c>
      <c r="G16" s="100" t="e">
        <f>NbreBovinsMâlesAuPré_18_24Mois</f>
        <v>#REF!</v>
      </c>
      <c r="H16" s="144"/>
      <c r="I16" s="47"/>
      <c r="J16" s="420" t="s">
        <v>871</v>
      </c>
      <c r="K16" s="421"/>
      <c r="L16" s="47"/>
      <c r="M16" s="98" t="s">
        <v>872</v>
      </c>
      <c r="N16" s="43"/>
      <c r="O16" s="96"/>
      <c r="P16" s="17"/>
      <c r="Q16" s="17"/>
      <c r="R16" s="17"/>
      <c r="S16" s="17"/>
      <c r="T16" s="61"/>
      <c r="U16" s="60"/>
      <c r="V16" s="60"/>
      <c r="W16" s="60"/>
      <c r="X16" s="60"/>
      <c r="Y16" s="60"/>
      <c r="AJ16" s="56"/>
      <c r="AK16" s="56"/>
      <c r="AL16" s="56"/>
      <c r="AM16" s="56"/>
      <c r="AN16" s="56"/>
      <c r="AO16" s="86"/>
      <c r="AP16" s="88"/>
      <c r="AQ16" s="86"/>
      <c r="AR16" s="86"/>
      <c r="AS16" s="86"/>
      <c r="CB16" s="17"/>
      <c r="CC16" s="17"/>
    </row>
    <row r="17" spans="1:81" ht="12.75" customHeight="1" thickBot="1" x14ac:dyDescent="0.25">
      <c r="A17" s="97"/>
      <c r="B17" s="21" t="s">
        <v>267</v>
      </c>
      <c r="C17" s="101">
        <v>10</v>
      </c>
      <c r="D17" s="230"/>
      <c r="E17" s="230" t="s">
        <v>830</v>
      </c>
      <c r="F17" s="102">
        <f t="shared" si="0"/>
        <v>10</v>
      </c>
      <c r="G17" s="102" t="e">
        <f>NbreBovinsFemellesAuPré_18_24Mois</f>
        <v>#REF!</v>
      </c>
      <c r="H17" s="144"/>
      <c r="I17" s="47"/>
      <c r="J17" s="418"/>
      <c r="K17" s="419"/>
      <c r="L17" s="47"/>
      <c r="M17" s="270"/>
      <c r="N17" s="43"/>
      <c r="O17" s="96"/>
      <c r="P17" s="17"/>
      <c r="Q17" s="17"/>
      <c r="R17" s="17"/>
      <c r="S17" s="17"/>
      <c r="T17" s="61"/>
      <c r="U17" s="60"/>
      <c r="V17" s="60"/>
      <c r="W17" s="60"/>
      <c r="X17" s="60"/>
      <c r="Y17" s="60"/>
      <c r="AJ17" s="56"/>
      <c r="AK17" s="56"/>
      <c r="AL17" s="56"/>
      <c r="AM17" s="56"/>
      <c r="AN17" s="56"/>
      <c r="AO17" s="86"/>
      <c r="AP17" s="88"/>
      <c r="AQ17" s="86"/>
      <c r="AR17" s="86"/>
      <c r="AS17" s="86"/>
      <c r="CB17" s="17"/>
      <c r="CC17" s="17"/>
    </row>
    <row r="18" spans="1:81" ht="12.75" customHeight="1" x14ac:dyDescent="0.2">
      <c r="A18" s="97"/>
      <c r="B18" s="22" t="s">
        <v>268</v>
      </c>
      <c r="C18" s="104">
        <v>10</v>
      </c>
      <c r="D18" s="104"/>
      <c r="E18" s="4" t="s">
        <v>830</v>
      </c>
      <c r="F18" s="100">
        <f t="shared" si="0"/>
        <v>10</v>
      </c>
      <c r="G18" s="100" t="e">
        <f>NbreBovinsMâlesAuPré_24_36Mois</f>
        <v>#REF!</v>
      </c>
      <c r="H18" s="144"/>
      <c r="I18" s="47"/>
      <c r="J18" s="103"/>
      <c r="K18" s="47"/>
      <c r="L18" s="47"/>
      <c r="M18" s="47"/>
      <c r="N18" s="43"/>
      <c r="O18" s="96"/>
      <c r="P18" s="17"/>
      <c r="Q18" s="17"/>
      <c r="R18" s="17"/>
      <c r="S18" s="17"/>
      <c r="T18" s="61"/>
      <c r="U18" s="60"/>
      <c r="V18" s="60"/>
      <c r="W18" s="60"/>
      <c r="X18" s="60"/>
      <c r="Y18" s="60"/>
      <c r="AJ18" s="56"/>
      <c r="AK18" s="56"/>
      <c r="AL18" s="56"/>
      <c r="AM18" s="56"/>
      <c r="AN18" s="56"/>
      <c r="AO18" s="86"/>
      <c r="AP18" s="88"/>
      <c r="AQ18" s="86"/>
      <c r="AR18" s="86"/>
      <c r="AS18" s="86"/>
      <c r="CB18" s="17"/>
      <c r="CC18" s="17"/>
    </row>
    <row r="19" spans="1:81" ht="12.75" customHeight="1" thickBot="1" x14ac:dyDescent="0.25">
      <c r="A19" s="97"/>
      <c r="B19" s="23" t="s">
        <v>269</v>
      </c>
      <c r="C19" s="105">
        <v>10</v>
      </c>
      <c r="D19" s="105"/>
      <c r="E19" s="230" t="s">
        <v>830</v>
      </c>
      <c r="F19" s="102">
        <f t="shared" si="0"/>
        <v>10</v>
      </c>
      <c r="G19" s="102" t="e">
        <f>NbreBovinsFemellesAuPré_24_36Mois</f>
        <v>#REF!</v>
      </c>
      <c r="H19" s="144"/>
      <c r="I19" s="47"/>
      <c r="J19" s="420" t="s">
        <v>256</v>
      </c>
      <c r="K19" s="421"/>
      <c r="L19" s="47"/>
      <c r="M19" s="47"/>
      <c r="N19" s="43"/>
      <c r="O19" s="96"/>
      <c r="P19" s="17"/>
      <c r="Q19" s="17"/>
      <c r="R19" s="17"/>
      <c r="S19" s="17"/>
      <c r="T19" s="61"/>
      <c r="U19" s="60"/>
      <c r="V19" s="60"/>
      <c r="W19" s="60"/>
      <c r="X19" s="60"/>
      <c r="Y19" s="60"/>
      <c r="AJ19" s="56"/>
      <c r="AK19" s="56"/>
      <c r="AL19" s="56"/>
      <c r="AM19" s="56"/>
      <c r="AN19" s="56"/>
      <c r="AO19" s="86"/>
      <c r="AP19" s="88"/>
      <c r="AQ19" s="86"/>
      <c r="AR19" s="86"/>
      <c r="AS19" s="86"/>
      <c r="CB19" s="17"/>
      <c r="CC19" s="17"/>
    </row>
    <row r="20" spans="1:81" ht="12.75" customHeight="1" x14ac:dyDescent="0.2">
      <c r="A20" s="97"/>
      <c r="B20" s="24" t="s">
        <v>270</v>
      </c>
      <c r="C20" s="99">
        <v>10</v>
      </c>
      <c r="D20" s="99"/>
      <c r="E20" s="4" t="s">
        <v>832</v>
      </c>
      <c r="F20" s="100">
        <f t="shared" si="0"/>
        <v>10</v>
      </c>
      <c r="G20" s="100" t="e">
        <f>NbreBovinsMâlesAuPré_3AnsEtPlus</f>
        <v>#REF!</v>
      </c>
      <c r="H20" s="144"/>
      <c r="I20" s="47"/>
      <c r="J20" s="418" t="s">
        <v>160</v>
      </c>
      <c r="K20" s="419"/>
      <c r="L20" s="47"/>
      <c r="M20" s="47"/>
      <c r="N20" s="43"/>
      <c r="O20" s="96"/>
      <c r="P20" s="17"/>
      <c r="Q20" s="17"/>
      <c r="R20" s="17"/>
      <c r="S20" s="17"/>
      <c r="T20" s="61"/>
      <c r="U20" s="60"/>
      <c r="V20" s="60"/>
      <c r="W20" s="60"/>
      <c r="X20" s="60"/>
      <c r="Y20" s="60"/>
      <c r="AJ20" s="56"/>
      <c r="AK20" s="56"/>
      <c r="AL20" s="56"/>
      <c r="AM20" s="56"/>
      <c r="AN20" s="56"/>
      <c r="AO20" s="86"/>
      <c r="AP20" s="88"/>
      <c r="AQ20" s="86"/>
      <c r="AR20" s="86"/>
      <c r="AS20" s="86"/>
      <c r="CB20" s="17"/>
      <c r="CC20" s="17"/>
    </row>
    <row r="21" spans="1:81" ht="12.75" customHeight="1" thickBot="1" x14ac:dyDescent="0.25">
      <c r="A21" s="97"/>
      <c r="B21" s="25" t="s">
        <v>271</v>
      </c>
      <c r="C21" s="105">
        <v>10</v>
      </c>
      <c r="D21" s="105"/>
      <c r="E21" s="230" t="s">
        <v>831</v>
      </c>
      <c r="F21" s="102">
        <f t="shared" si="0"/>
        <v>10</v>
      </c>
      <c r="G21" s="102" t="e">
        <f>NbreBovinsFemellesAuPré_3AnsEtPlus</f>
        <v>#REF!</v>
      </c>
      <c r="H21" s="144"/>
      <c r="I21" s="47"/>
      <c r="J21" s="418" t="s">
        <v>870</v>
      </c>
      <c r="K21" s="419"/>
      <c r="L21" s="47"/>
      <c r="M21" s="47"/>
      <c r="N21" s="43"/>
      <c r="O21" s="96"/>
      <c r="P21" s="17"/>
      <c r="Q21" s="17"/>
      <c r="R21" s="17"/>
      <c r="S21" s="17"/>
      <c r="T21" s="61"/>
      <c r="U21" s="60"/>
      <c r="V21" s="60"/>
      <c r="W21" s="60"/>
      <c r="X21" s="60"/>
      <c r="Y21" s="60"/>
      <c r="AJ21" s="56"/>
      <c r="AK21" s="56"/>
      <c r="AL21" s="56"/>
      <c r="AM21" s="56"/>
      <c r="AN21" s="56"/>
      <c r="AO21" s="86"/>
      <c r="AP21" s="88"/>
      <c r="AQ21" s="86"/>
      <c r="AR21" s="86"/>
      <c r="AS21" s="86"/>
      <c r="CB21" s="17"/>
      <c r="CC21" s="17"/>
    </row>
    <row r="22" spans="1:81" ht="12.75" customHeight="1" x14ac:dyDescent="0.2">
      <c r="A22" s="97"/>
      <c r="B22" s="144"/>
      <c r="C22" s="144"/>
      <c r="D22" s="144"/>
      <c r="E22" s="144"/>
      <c r="F22" s="144"/>
      <c r="G22" s="144"/>
      <c r="H22" s="144"/>
      <c r="I22" s="47"/>
      <c r="J22" s="144"/>
      <c r="K22" s="144"/>
      <c r="L22" s="47"/>
      <c r="M22" s="47"/>
      <c r="N22" s="43"/>
      <c r="O22" s="96"/>
      <c r="P22" s="17"/>
      <c r="Q22" s="17"/>
      <c r="R22" s="17"/>
      <c r="S22" s="17"/>
      <c r="T22" s="61"/>
      <c r="U22" s="60"/>
      <c r="V22" s="60"/>
      <c r="W22" s="60"/>
      <c r="X22" s="60"/>
      <c r="Y22" s="60"/>
      <c r="AJ22" s="56"/>
      <c r="AK22" s="56"/>
      <c r="AL22" s="56"/>
      <c r="AM22" s="56"/>
      <c r="AN22" s="56"/>
      <c r="AO22" s="86"/>
      <c r="AP22" s="88"/>
      <c r="AQ22" s="86"/>
      <c r="AR22" s="86"/>
      <c r="AS22" s="86"/>
      <c r="CB22" s="17"/>
      <c r="CC22" s="17"/>
    </row>
    <row r="23" spans="1:81" ht="12.75" customHeight="1" x14ac:dyDescent="0.2">
      <c r="A23" s="97"/>
      <c r="B23" s="144"/>
      <c r="C23" s="144"/>
      <c r="D23" s="144"/>
      <c r="E23" s="144"/>
      <c r="F23" s="144"/>
      <c r="G23" s="144"/>
      <c r="H23" s="144"/>
      <c r="I23" s="47"/>
      <c r="J23" s="18" t="s">
        <v>89</v>
      </c>
      <c r="K23" s="106"/>
      <c r="L23" s="47" t="str">
        <f>IF(OR(ChoixPaillageBovins="",ChoixPaillageBovins=NON),"","coût : "&amp;LitièreBovins[[#Totals],[Litière tout bovins]]*PrixPaille*84/1000&amp;"€/an (si pas de mise au pré l'été, sinon "&amp;(IF(ChoixBovinsPréHiver=OUI,(LitièreBovins[[#Totals],[litière races laitières]]*PrixPaille*(84-49))/1000,LitièreBovins[[#Totals],[Litière tout bovins]]*PrixPaille*(84-49)/1000)&amp;"€/an)"))</f>
        <v/>
      </c>
      <c r="M23" s="47"/>
      <c r="N23" s="43"/>
      <c r="O23" s="120"/>
      <c r="P23" s="115"/>
      <c r="Q23" s="115"/>
      <c r="R23" s="116"/>
      <c r="S23" s="58"/>
      <c r="T23" s="60"/>
      <c r="U23" s="60"/>
      <c r="V23" s="60"/>
      <c r="W23" s="60"/>
      <c r="AJ23" s="56"/>
      <c r="AK23" s="56"/>
      <c r="AL23" s="56"/>
      <c r="AN23" s="88"/>
      <c r="AO23" s="86"/>
      <c r="AP23" s="86"/>
      <c r="AQ23" s="86"/>
      <c r="CB23" s="17"/>
      <c r="CC23" s="17"/>
    </row>
    <row r="24" spans="1:81" ht="12.75" customHeight="1" x14ac:dyDescent="0.2">
      <c r="A24" s="97"/>
      <c r="B24" s="144"/>
      <c r="C24" s="144"/>
      <c r="D24" s="144"/>
      <c r="E24" s="144"/>
      <c r="F24" s="144"/>
      <c r="G24" s="144"/>
      <c r="H24" s="144"/>
      <c r="I24" s="47"/>
      <c r="J24" s="19" t="s">
        <v>88</v>
      </c>
      <c r="K24" s="106"/>
      <c r="L24" s="47" t="str">
        <f>IF(ChoixVaccinBovins=OUI,"coût : " &amp;SUM(TotalBovins)*PrixVaccinBovin &amp;"€/an","")</f>
        <v/>
      </c>
      <c r="M24" s="47"/>
      <c r="N24" s="43"/>
      <c r="O24" s="120"/>
      <c r="P24" s="115"/>
      <c r="Q24" s="115"/>
      <c r="R24" s="116"/>
      <c r="S24" s="58"/>
      <c r="T24" s="60"/>
      <c r="U24" s="60"/>
      <c r="V24" s="60"/>
      <c r="W24" s="60"/>
      <c r="AJ24" s="56"/>
      <c r="AK24" s="56"/>
      <c r="AL24" s="56"/>
      <c r="AN24" s="88"/>
      <c r="AO24" s="86"/>
      <c r="AP24" s="86"/>
      <c r="AQ24" s="86"/>
      <c r="CB24" s="17"/>
      <c r="CC24" s="17"/>
    </row>
    <row r="25" spans="1:81" ht="12.75" customHeight="1" thickBot="1" x14ac:dyDescent="0.25">
      <c r="A25" s="107"/>
      <c r="B25" s="38"/>
      <c r="C25" s="38"/>
      <c r="D25" s="108"/>
      <c r="E25" s="108"/>
      <c r="F25" s="108"/>
      <c r="G25" s="38"/>
      <c r="H25" s="38"/>
      <c r="I25" s="109"/>
      <c r="J25" s="109"/>
      <c r="K25" s="109"/>
      <c r="L25" s="109"/>
      <c r="M25" s="109"/>
      <c r="N25" s="110"/>
      <c r="O25" s="120"/>
      <c r="P25" s="115"/>
      <c r="Q25" s="115"/>
      <c r="R25" s="116"/>
      <c r="S25" s="58"/>
      <c r="T25" s="60"/>
      <c r="U25" s="60"/>
      <c r="V25" s="60"/>
      <c r="W25" s="60"/>
      <c r="AJ25" s="56"/>
      <c r="AK25" s="56"/>
      <c r="AL25" s="56"/>
      <c r="AN25" s="88"/>
      <c r="AO25" s="86"/>
      <c r="AP25" s="86"/>
      <c r="AQ25" s="86"/>
      <c r="CB25" s="17"/>
      <c r="CC25" s="17"/>
    </row>
    <row r="26" spans="1:81" ht="12.75" customHeight="1" thickBot="1" x14ac:dyDescent="0.25">
      <c r="A26" s="111" t="s">
        <v>245</v>
      </c>
      <c r="B26" s="112"/>
      <c r="C26" s="113"/>
      <c r="D26" s="113"/>
      <c r="E26" s="113"/>
      <c r="F26" s="113"/>
      <c r="G26" s="112"/>
      <c r="H26" s="112"/>
      <c r="I26" s="113"/>
      <c r="J26" s="113"/>
      <c r="K26" s="113"/>
      <c r="L26" s="113"/>
      <c r="M26" s="113"/>
      <c r="N26" s="114"/>
      <c r="O26" s="120"/>
      <c r="P26" s="115"/>
      <c r="Q26" s="115"/>
      <c r="R26" s="116"/>
      <c r="S26" s="58"/>
      <c r="T26" s="60"/>
      <c r="U26" s="60"/>
      <c r="V26" s="60"/>
      <c r="W26" s="60"/>
      <c r="AJ26" s="56"/>
      <c r="AK26" s="56"/>
      <c r="AL26" s="56"/>
      <c r="AN26" s="88"/>
      <c r="AO26" s="86"/>
      <c r="AP26" s="86"/>
      <c r="AQ26" s="86"/>
      <c r="CB26" s="17"/>
      <c r="CC26" s="17"/>
    </row>
    <row r="27" spans="1:81" ht="12.75" customHeight="1" thickBot="1" x14ac:dyDescent="0.25">
      <c r="A27" s="117" t="str">
        <f>"Total : "&amp;SUM(TotalBisons)</f>
        <v>Total : 0</v>
      </c>
      <c r="B27" s="51"/>
      <c r="C27" s="33" t="s">
        <v>257</v>
      </c>
      <c r="D27" s="78" t="s">
        <v>829</v>
      </c>
      <c r="E27" s="78" t="s">
        <v>10</v>
      </c>
      <c r="F27" s="51"/>
      <c r="G27" s="51"/>
      <c r="H27" s="51"/>
      <c r="I27" s="118"/>
      <c r="J27" s="422" t="s">
        <v>255</v>
      </c>
      <c r="K27" s="422"/>
      <c r="L27" s="118"/>
      <c r="M27" s="118"/>
      <c r="N27" s="119"/>
      <c r="O27" s="120"/>
      <c r="P27" s="115"/>
      <c r="Q27" s="115"/>
      <c r="R27" s="116"/>
      <c r="S27" s="58"/>
      <c r="T27" s="60"/>
      <c r="U27" s="60"/>
      <c r="V27" s="60"/>
      <c r="W27" s="60"/>
      <c r="AJ27" s="56"/>
      <c r="AK27" s="56"/>
      <c r="AL27" s="56"/>
      <c r="AN27" s="88"/>
      <c r="AO27" s="86"/>
      <c r="AP27" s="86"/>
      <c r="AQ27" s="86"/>
      <c r="CB27" s="17"/>
      <c r="CC27" s="17"/>
    </row>
    <row r="28" spans="1:81" ht="12.75" customHeight="1" x14ac:dyDescent="0.2">
      <c r="A28" s="117"/>
      <c r="B28" s="26" t="s">
        <v>236</v>
      </c>
      <c r="C28" s="121"/>
      <c r="D28" s="4"/>
      <c r="E28" s="100" t="e">
        <f>NbreBisonsMâlesAuPré_0_3Mois</f>
        <v>#REF!</v>
      </c>
      <c r="F28" s="51"/>
      <c r="G28" s="51"/>
      <c r="H28" s="51"/>
      <c r="I28" s="118"/>
      <c r="J28" s="425"/>
      <c r="K28" s="425"/>
      <c r="L28" s="51"/>
      <c r="M28" s="51"/>
      <c r="N28" s="44"/>
      <c r="O28" s="120"/>
      <c r="P28" s="115"/>
      <c r="Q28" s="115"/>
      <c r="R28" s="116"/>
      <c r="S28" s="58"/>
      <c r="T28" s="60"/>
      <c r="U28" s="60"/>
      <c r="V28" s="60"/>
      <c r="W28" s="60"/>
      <c r="AJ28" s="56"/>
      <c r="AK28" s="56"/>
      <c r="AL28" s="56"/>
      <c r="AN28" s="88"/>
      <c r="AO28" s="86"/>
      <c r="AP28" s="86"/>
      <c r="AQ28" s="86"/>
      <c r="CB28" s="17"/>
      <c r="CC28" s="17"/>
    </row>
    <row r="29" spans="1:81" ht="12.75" customHeight="1" thickBot="1" x14ac:dyDescent="0.25">
      <c r="A29" s="117"/>
      <c r="B29" s="12" t="s">
        <v>159</v>
      </c>
      <c r="C29" s="122"/>
      <c r="D29" s="230"/>
      <c r="E29" s="102" t="e">
        <f>NbreBisonsFemellesAuPré_0_3Mois</f>
        <v>#REF!</v>
      </c>
      <c r="F29" s="51"/>
      <c r="G29" s="51"/>
      <c r="H29" s="51"/>
      <c r="I29" s="118"/>
      <c r="J29" s="51"/>
      <c r="K29" s="51"/>
      <c r="L29" s="118"/>
      <c r="M29" s="118"/>
      <c r="N29" s="119"/>
      <c r="O29" s="120"/>
      <c r="P29" s="115"/>
      <c r="Q29" s="115"/>
      <c r="R29" s="116"/>
      <c r="S29" s="58"/>
      <c r="T29" s="60"/>
      <c r="U29" s="60"/>
      <c r="V29" s="60"/>
      <c r="W29" s="60"/>
      <c r="AJ29" s="56"/>
      <c r="AK29" s="56"/>
      <c r="AL29" s="56"/>
      <c r="AN29" s="88"/>
      <c r="AO29" s="86"/>
      <c r="AP29" s="86"/>
      <c r="AQ29" s="86"/>
      <c r="CB29" s="17"/>
      <c r="CC29" s="17"/>
    </row>
    <row r="30" spans="1:81" ht="12.75" customHeight="1" x14ac:dyDescent="0.2">
      <c r="A30" s="117"/>
      <c r="B30" s="27" t="s">
        <v>237</v>
      </c>
      <c r="C30" s="123"/>
      <c r="D30" s="4"/>
      <c r="E30" s="100" t="e">
        <f>NbreBisonsMâlesAuPré_3_6Mois</f>
        <v>#REF!</v>
      </c>
      <c r="F30" s="51"/>
      <c r="G30" s="51"/>
      <c r="H30" s="51"/>
      <c r="I30" s="118"/>
      <c r="J30" s="420" t="s">
        <v>453</v>
      </c>
      <c r="K30" s="421"/>
      <c r="L30" s="118"/>
      <c r="M30" s="118"/>
      <c r="N30" s="119"/>
      <c r="O30" s="120"/>
      <c r="P30" s="115"/>
      <c r="Q30" s="115"/>
      <c r="R30" s="116"/>
      <c r="S30" s="58"/>
      <c r="T30" s="60"/>
      <c r="U30" s="60"/>
      <c r="V30" s="60"/>
      <c r="W30" s="60"/>
      <c r="AJ30" s="56"/>
      <c r="AK30" s="56"/>
      <c r="AL30" s="56"/>
      <c r="AN30" s="88"/>
      <c r="AO30" s="86"/>
      <c r="AP30" s="86"/>
      <c r="AQ30" s="86"/>
      <c r="CB30" s="17"/>
      <c r="CC30" s="17"/>
    </row>
    <row r="31" spans="1:81" ht="12.75" customHeight="1" thickBot="1" x14ac:dyDescent="0.25">
      <c r="A31" s="117"/>
      <c r="B31" s="14" t="s">
        <v>317</v>
      </c>
      <c r="C31" s="5"/>
      <c r="D31" s="230"/>
      <c r="E31" s="102" t="e">
        <f>NbreBisonsFemellesAuPré_3_6Mois</f>
        <v>#REF!</v>
      </c>
      <c r="F31" s="51"/>
      <c r="G31" s="51"/>
      <c r="H31" s="51"/>
      <c r="I31" s="118"/>
      <c r="J31" s="418"/>
      <c r="K31" s="419"/>
      <c r="L31" s="118"/>
      <c r="M31" s="118"/>
      <c r="N31" s="119"/>
      <c r="O31" s="120"/>
      <c r="P31" s="115"/>
      <c r="Q31" s="115"/>
      <c r="R31" s="116"/>
      <c r="S31" s="58"/>
      <c r="T31" s="60"/>
      <c r="U31" s="60"/>
      <c r="V31" s="60"/>
      <c r="W31" s="60"/>
      <c r="AJ31" s="56"/>
      <c r="AK31" s="56"/>
      <c r="AL31" s="56"/>
      <c r="AN31" s="88"/>
      <c r="AO31" s="86"/>
      <c r="AP31" s="86"/>
      <c r="AQ31" s="86"/>
      <c r="CB31" s="17"/>
      <c r="CC31" s="17"/>
    </row>
    <row r="32" spans="1:81" ht="12.75" customHeight="1" x14ac:dyDescent="0.2">
      <c r="A32" s="117"/>
      <c r="B32" s="28" t="s">
        <v>238</v>
      </c>
      <c r="C32" s="121"/>
      <c r="D32" s="4"/>
      <c r="E32" s="100" t="e">
        <f>NbreBisonsMâlesAuPré_6_12Mois</f>
        <v>#REF!</v>
      </c>
      <c r="F32" s="51"/>
      <c r="G32" s="51"/>
      <c r="H32" s="51"/>
      <c r="I32" s="118"/>
      <c r="J32" s="124" t="str">
        <f>IF(J31=OUI,"Ration complète","")</f>
        <v/>
      </c>
      <c r="K32" s="51"/>
      <c r="L32" s="118"/>
      <c r="M32" s="118"/>
      <c r="N32" s="119"/>
      <c r="O32" s="120"/>
      <c r="P32" s="115"/>
      <c r="Q32" s="115"/>
      <c r="R32" s="116"/>
      <c r="S32" s="58"/>
      <c r="T32" s="60"/>
      <c r="U32" s="60"/>
      <c r="V32" s="60"/>
      <c r="W32" s="60"/>
      <c r="AJ32" s="56"/>
      <c r="AK32" s="56"/>
      <c r="AL32" s="56"/>
      <c r="AN32" s="88"/>
      <c r="AO32" s="86"/>
      <c r="AP32" s="86"/>
      <c r="AQ32" s="86"/>
      <c r="CB32" s="17"/>
      <c r="CC32" s="17"/>
    </row>
    <row r="33" spans="1:81" ht="12.75" customHeight="1" thickBot="1" x14ac:dyDescent="0.25">
      <c r="A33" s="117"/>
      <c r="B33" s="12" t="s">
        <v>318</v>
      </c>
      <c r="C33" s="122"/>
      <c r="D33" s="230"/>
      <c r="E33" s="102" t="e">
        <f>NbreBisonsFemellesAuPré_6_12Mois</f>
        <v>#REF!</v>
      </c>
      <c r="F33" s="51"/>
      <c r="G33" s="51"/>
      <c r="H33" s="51"/>
      <c r="I33" s="118"/>
      <c r="J33" s="420" t="s">
        <v>871</v>
      </c>
      <c r="K33" s="421"/>
      <c r="L33" s="118"/>
      <c r="M33" s="118"/>
      <c r="N33" s="119"/>
      <c r="O33" s="120"/>
      <c r="P33" s="115"/>
      <c r="Q33" s="115"/>
      <c r="R33" s="116"/>
      <c r="S33" s="58"/>
      <c r="T33" s="60"/>
      <c r="U33" s="60"/>
      <c r="V33" s="60"/>
      <c r="W33" s="60"/>
      <c r="AJ33" s="56"/>
      <c r="AK33" s="56"/>
      <c r="AL33" s="56"/>
      <c r="AN33" s="88"/>
      <c r="AO33" s="86"/>
      <c r="AP33" s="86"/>
      <c r="AQ33" s="86"/>
      <c r="CB33" s="17"/>
      <c r="CC33" s="17"/>
    </row>
    <row r="34" spans="1:81" ht="12.75" customHeight="1" x14ac:dyDescent="0.2">
      <c r="A34" s="117"/>
      <c r="B34" s="27" t="s">
        <v>248</v>
      </c>
      <c r="C34" s="123"/>
      <c r="D34" s="4"/>
      <c r="E34" s="100" t="e">
        <f>NbreBisonsMâlesAuPré_12_18Mois</f>
        <v>#REF!</v>
      </c>
      <c r="F34" s="51"/>
      <c r="G34" s="51"/>
      <c r="H34" s="51"/>
      <c r="I34" s="118"/>
      <c r="J34" s="418"/>
      <c r="K34" s="419"/>
      <c r="L34" s="118"/>
      <c r="M34" s="118"/>
      <c r="N34" s="119"/>
      <c r="O34" s="120"/>
      <c r="P34" s="115"/>
      <c r="Q34" s="115"/>
      <c r="R34" s="116"/>
      <c r="S34" s="58"/>
      <c r="T34" s="60"/>
      <c r="U34" s="60"/>
      <c r="V34" s="60"/>
      <c r="W34" s="60"/>
      <c r="AJ34" s="56"/>
      <c r="AK34" s="56"/>
      <c r="AL34" s="56"/>
      <c r="AN34" s="88"/>
      <c r="AO34" s="86"/>
      <c r="AP34" s="86"/>
      <c r="AQ34" s="86"/>
      <c r="CB34" s="17"/>
      <c r="CC34" s="17"/>
    </row>
    <row r="35" spans="1:81" ht="12.75" customHeight="1" thickBot="1" x14ac:dyDescent="0.25">
      <c r="A35" s="117"/>
      <c r="B35" s="14" t="s">
        <v>249</v>
      </c>
      <c r="C35" s="5"/>
      <c r="D35" s="230"/>
      <c r="E35" s="102" t="e">
        <f>NbreBisonsFemellesAuPré_12_18Mois</f>
        <v>#REF!</v>
      </c>
      <c r="F35" s="51"/>
      <c r="G35" s="51"/>
      <c r="H35" s="51"/>
      <c r="I35" s="118"/>
      <c r="J35" s="51"/>
      <c r="K35" s="51"/>
      <c r="L35" s="118"/>
      <c r="M35" s="118"/>
      <c r="N35" s="119"/>
      <c r="O35" s="120"/>
      <c r="P35" s="115"/>
      <c r="Q35" s="115"/>
      <c r="R35" s="116"/>
      <c r="S35" s="58"/>
      <c r="T35" s="60"/>
      <c r="U35" s="60"/>
      <c r="V35" s="60"/>
      <c r="W35" s="60"/>
      <c r="AJ35" s="56"/>
      <c r="AK35" s="56"/>
      <c r="AL35" s="56"/>
      <c r="AN35" s="88"/>
      <c r="AO35" s="86"/>
      <c r="AP35" s="86"/>
      <c r="AQ35" s="86"/>
      <c r="CB35" s="17"/>
      <c r="CC35" s="17"/>
    </row>
    <row r="36" spans="1:81" ht="12.75" customHeight="1" x14ac:dyDescent="0.2">
      <c r="A36" s="117"/>
      <c r="B36" s="28" t="s">
        <v>250</v>
      </c>
      <c r="C36" s="121"/>
      <c r="D36" s="4"/>
      <c r="E36" s="100" t="e">
        <f>NbreBisonsMâlesAuPré_18_24Mois</f>
        <v>#REF!</v>
      </c>
      <c r="F36" s="51"/>
      <c r="G36" s="51"/>
      <c r="H36" s="51"/>
      <c r="I36" s="118"/>
      <c r="J36" s="426" t="s">
        <v>256</v>
      </c>
      <c r="K36" s="427"/>
      <c r="L36" s="51" t="str">
        <f>IF(OR(ChoixVaccinBisons=NON,ChoixVaccinBisons=""),"","coût : "&amp;SUM(TotalBisons)*PrixVaccinBison&amp;"€/an")</f>
        <v/>
      </c>
      <c r="M36" s="51"/>
      <c r="N36" s="44"/>
      <c r="O36" s="120"/>
      <c r="P36" s="115"/>
      <c r="Q36" s="115"/>
      <c r="R36" s="116"/>
      <c r="S36" s="58"/>
      <c r="T36" s="60"/>
      <c r="U36" s="60"/>
      <c r="V36" s="60"/>
      <c r="W36" s="60"/>
      <c r="AJ36" s="56"/>
      <c r="AK36" s="56"/>
      <c r="AL36" s="56"/>
      <c r="AN36" s="88"/>
      <c r="AO36" s="86"/>
      <c r="AP36" s="86"/>
      <c r="AQ36" s="86"/>
      <c r="CB36" s="17"/>
      <c r="CC36" s="17"/>
    </row>
    <row r="37" spans="1:81" ht="12.75" customHeight="1" thickBot="1" x14ac:dyDescent="0.25">
      <c r="A37" s="117"/>
      <c r="B37" s="29" t="s">
        <v>152</v>
      </c>
      <c r="C37" s="122"/>
      <c r="D37" s="230"/>
      <c r="E37" s="102" t="e">
        <f>NbreBisonsFemellesAuPré_18_24Mois</f>
        <v>#REF!</v>
      </c>
      <c r="F37" s="51"/>
      <c r="G37" s="51"/>
      <c r="H37" s="51"/>
      <c r="I37" s="118"/>
      <c r="J37" s="418"/>
      <c r="K37" s="419"/>
      <c r="L37" s="118"/>
      <c r="M37" s="118"/>
      <c r="N37" s="119"/>
      <c r="O37" s="120"/>
      <c r="P37" s="115"/>
      <c r="Q37" s="115"/>
      <c r="R37" s="116"/>
      <c r="S37" s="58"/>
      <c r="T37" s="60"/>
      <c r="U37" s="60"/>
      <c r="V37" s="60"/>
      <c r="W37" s="60"/>
      <c r="AJ37" s="56"/>
      <c r="AK37" s="56"/>
      <c r="AL37" s="56"/>
      <c r="AN37" s="88"/>
      <c r="AO37" s="86"/>
      <c r="AP37" s="86"/>
      <c r="AQ37" s="86"/>
      <c r="CB37" s="17"/>
      <c r="CC37" s="17"/>
    </row>
    <row r="38" spans="1:81" ht="12.75" customHeight="1" x14ac:dyDescent="0.2">
      <c r="A38" s="117"/>
      <c r="B38" s="27" t="s">
        <v>153</v>
      </c>
      <c r="C38" s="123"/>
      <c r="D38" s="4"/>
      <c r="E38" s="100" t="e">
        <f>NbreBisonsMâlesAuPré_24_36Mois</f>
        <v>#REF!</v>
      </c>
      <c r="F38" s="118"/>
      <c r="G38" s="118"/>
      <c r="H38" s="118"/>
      <c r="I38" s="118"/>
      <c r="J38" s="51"/>
      <c r="K38" s="51"/>
      <c r="L38" s="118"/>
      <c r="M38" s="118"/>
      <c r="N38" s="119"/>
      <c r="O38" s="120"/>
      <c r="P38" s="115"/>
      <c r="Q38" s="115"/>
      <c r="R38" s="116"/>
      <c r="S38" s="58"/>
      <c r="T38" s="60"/>
      <c r="U38" s="60"/>
      <c r="V38" s="60"/>
      <c r="W38" s="60"/>
      <c r="AJ38" s="56"/>
      <c r="AK38" s="56"/>
      <c r="AL38" s="56"/>
      <c r="AN38" s="88"/>
      <c r="AO38" s="86"/>
      <c r="AP38" s="86"/>
      <c r="AQ38" s="86"/>
      <c r="CB38" s="17"/>
      <c r="CC38" s="17"/>
    </row>
    <row r="39" spans="1:81" ht="12.75" customHeight="1" thickBot="1" x14ac:dyDescent="0.25">
      <c r="A39" s="117"/>
      <c r="B39" s="14" t="s">
        <v>239</v>
      </c>
      <c r="C39" s="5"/>
      <c r="D39" s="230"/>
      <c r="E39" s="102" t="e">
        <f>NbreBisonsFemellesAuPré_24_36Mois</f>
        <v>#REF!</v>
      </c>
      <c r="F39" s="118"/>
      <c r="G39" s="118"/>
      <c r="H39" s="118"/>
      <c r="I39" s="118"/>
      <c r="J39" s="79" t="s">
        <v>88</v>
      </c>
      <c r="K39" s="106"/>
      <c r="L39" s="118"/>
      <c r="M39" s="118"/>
      <c r="N39" s="119"/>
      <c r="O39" s="120"/>
      <c r="P39" s="115"/>
      <c r="Q39" s="115"/>
      <c r="R39" s="116"/>
      <c r="S39" s="58"/>
      <c r="T39" s="60"/>
      <c r="U39" s="60"/>
      <c r="V39" s="60"/>
      <c r="W39" s="60"/>
      <c r="AJ39" s="56"/>
      <c r="AK39" s="56"/>
      <c r="AL39" s="56"/>
      <c r="AN39" s="88"/>
      <c r="AO39" s="86"/>
      <c r="AP39" s="86"/>
      <c r="AQ39" s="86"/>
      <c r="CB39" s="17"/>
      <c r="CC39" s="17"/>
    </row>
    <row r="40" spans="1:81" ht="12.75" customHeight="1" x14ac:dyDescent="0.2">
      <c r="A40" s="117"/>
      <c r="B40" s="28" t="s">
        <v>154</v>
      </c>
      <c r="C40" s="121"/>
      <c r="D40" s="4"/>
      <c r="E40" s="100" t="e">
        <f>NbreBisonsMâlesAuPré_3AnsEtPlus</f>
        <v>#REF!</v>
      </c>
      <c r="F40" s="118"/>
      <c r="G40" s="118"/>
      <c r="H40" s="118"/>
      <c r="I40" s="118"/>
      <c r="J40" s="51"/>
      <c r="K40" s="51"/>
      <c r="L40" s="118"/>
      <c r="M40" s="118"/>
      <c r="N40" s="119"/>
      <c r="O40" s="120"/>
      <c r="P40" s="115"/>
      <c r="Q40" s="115"/>
      <c r="R40" s="116"/>
      <c r="S40" s="58"/>
      <c r="T40" s="60"/>
      <c r="U40" s="60"/>
      <c r="V40" s="60"/>
      <c r="W40" s="60"/>
      <c r="AJ40" s="56"/>
      <c r="AK40" s="56"/>
      <c r="AL40" s="56"/>
      <c r="AN40" s="88"/>
      <c r="AO40" s="86"/>
      <c r="AP40" s="86"/>
      <c r="AQ40" s="86"/>
      <c r="CB40" s="17"/>
      <c r="CC40" s="17"/>
    </row>
    <row r="41" spans="1:81" ht="12.75" customHeight="1" thickBot="1" x14ac:dyDescent="0.25">
      <c r="A41" s="117"/>
      <c r="B41" s="25" t="s">
        <v>155</v>
      </c>
      <c r="C41" s="5"/>
      <c r="D41" s="230"/>
      <c r="E41" s="102" t="e">
        <f>NbreBisonsFemellesAuPré_3AnsEtPlus</f>
        <v>#REF!</v>
      </c>
      <c r="F41" s="118"/>
      <c r="G41" s="118"/>
      <c r="H41" s="118"/>
      <c r="I41" s="118"/>
      <c r="J41" s="118"/>
      <c r="K41" s="118"/>
      <c r="L41" s="118"/>
      <c r="M41" s="118"/>
      <c r="N41" s="119"/>
      <c r="O41" s="120"/>
      <c r="P41" s="115"/>
      <c r="Q41" s="115"/>
      <c r="R41" s="116"/>
      <c r="S41" s="58"/>
      <c r="T41" s="60"/>
      <c r="U41" s="60"/>
      <c r="V41" s="60"/>
      <c r="W41" s="60"/>
      <c r="AJ41" s="56"/>
      <c r="AK41" s="56"/>
      <c r="AL41" s="56"/>
      <c r="AN41" s="88"/>
      <c r="AO41" s="86"/>
      <c r="AP41" s="86"/>
      <c r="AQ41" s="86"/>
      <c r="CB41" s="17"/>
      <c r="CC41" s="17"/>
    </row>
    <row r="42" spans="1:81" ht="12.75" customHeight="1" thickBot="1" x14ac:dyDescent="0.25">
      <c r="A42" s="125"/>
      <c r="B42" s="37"/>
      <c r="C42" s="126"/>
      <c r="D42" s="126"/>
      <c r="E42" s="52"/>
      <c r="F42" s="127"/>
      <c r="G42" s="127"/>
      <c r="H42" s="127"/>
      <c r="I42" s="127"/>
      <c r="J42" s="127"/>
      <c r="K42" s="127"/>
      <c r="L42" s="127"/>
      <c r="M42" s="127"/>
      <c r="N42" s="128"/>
      <c r="O42" s="120"/>
      <c r="P42" s="115"/>
      <c r="Q42" s="115"/>
      <c r="R42" s="116"/>
      <c r="S42" s="58"/>
      <c r="T42" s="60"/>
      <c r="U42" s="60"/>
      <c r="V42" s="60"/>
      <c r="W42" s="60"/>
      <c r="AJ42" s="56"/>
      <c r="AK42" s="56"/>
      <c r="AL42" s="56"/>
      <c r="AN42" s="88"/>
      <c r="AO42" s="86"/>
      <c r="AP42" s="86"/>
      <c r="AQ42" s="86"/>
      <c r="CB42" s="17"/>
      <c r="CC42" s="17"/>
    </row>
    <row r="43" spans="1:81" ht="12.75" customHeight="1" thickBot="1" x14ac:dyDescent="0.25">
      <c r="A43" s="93" t="s">
        <v>37</v>
      </c>
      <c r="B43" s="94"/>
      <c r="C43" s="129"/>
      <c r="D43" s="129"/>
      <c r="E43" s="94"/>
      <c r="F43" s="129"/>
      <c r="G43" s="129"/>
      <c r="H43" s="129"/>
      <c r="I43" s="129"/>
      <c r="J43" s="129"/>
      <c r="K43" s="129"/>
      <c r="L43" s="129"/>
      <c r="M43" s="129"/>
      <c r="N43" s="130"/>
      <c r="O43" s="120"/>
      <c r="P43" s="115"/>
      <c r="Q43" s="115"/>
      <c r="R43" s="116"/>
      <c r="S43" s="58"/>
      <c r="T43" s="60"/>
      <c r="U43" s="60"/>
      <c r="V43" s="60"/>
      <c r="W43" s="60"/>
      <c r="AJ43" s="56"/>
      <c r="AK43" s="56"/>
      <c r="AL43" s="56"/>
      <c r="AN43" s="88"/>
      <c r="AO43" s="86"/>
      <c r="AP43" s="86"/>
      <c r="AQ43" s="86"/>
      <c r="CB43" s="17"/>
      <c r="CC43" s="17"/>
    </row>
    <row r="44" spans="1:81" ht="12.75" customHeight="1" thickBot="1" x14ac:dyDescent="0.25">
      <c r="A44" s="97" t="str">
        <f>"Total : "&amp;SUM(TotalCaprins)</f>
        <v>Total : 0</v>
      </c>
      <c r="B44" s="47"/>
      <c r="C44" s="3" t="s">
        <v>11</v>
      </c>
      <c r="D44" s="78" t="s">
        <v>829</v>
      </c>
      <c r="E44" s="6" t="s">
        <v>10</v>
      </c>
      <c r="F44" s="131"/>
      <c r="G44" s="131"/>
      <c r="H44" s="131"/>
      <c r="I44" s="131"/>
      <c r="J44" s="422" t="s">
        <v>255</v>
      </c>
      <c r="K44" s="422"/>
      <c r="L44" s="131"/>
      <c r="M44" s="98" t="s">
        <v>798</v>
      </c>
      <c r="N44" s="132"/>
      <c r="O44" s="120"/>
      <c r="P44" s="115"/>
      <c r="Q44" s="115"/>
      <c r="R44" s="116"/>
      <c r="S44" s="58"/>
      <c r="T44" s="60"/>
      <c r="U44" s="60"/>
      <c r="V44" s="60"/>
      <c r="W44" s="60"/>
      <c r="AJ44" s="56"/>
      <c r="AK44" s="56"/>
      <c r="AL44" s="56"/>
      <c r="AN44" s="88"/>
      <c r="AO44" s="86"/>
      <c r="AP44" s="86"/>
      <c r="AQ44" s="86"/>
      <c r="CB44" s="17"/>
      <c r="CC44" s="17"/>
    </row>
    <row r="45" spans="1:81" ht="12.75" customHeight="1" x14ac:dyDescent="0.2">
      <c r="A45" s="97"/>
      <c r="B45" s="26" t="s">
        <v>38</v>
      </c>
      <c r="C45" s="121"/>
      <c r="D45" s="4"/>
      <c r="E45" s="133" t="e">
        <f>NbreCaprinsMâlesAuPré_0_3Mois</f>
        <v>#REF!</v>
      </c>
      <c r="F45" s="131"/>
      <c r="G45" s="131"/>
      <c r="H45" s="131"/>
      <c r="I45" s="131"/>
      <c r="J45" s="418"/>
      <c r="K45" s="419"/>
      <c r="L45" s="131"/>
      <c r="M45" s="226"/>
      <c r="N45" s="132"/>
      <c r="O45" s="120"/>
      <c r="P45" s="115"/>
      <c r="Q45" s="115"/>
      <c r="R45" s="116"/>
      <c r="S45" s="58"/>
      <c r="T45" s="60"/>
      <c r="U45" s="60"/>
      <c r="V45" s="60"/>
      <c r="W45" s="60"/>
      <c r="AJ45" s="56"/>
      <c r="AK45" s="56"/>
      <c r="AL45" s="56"/>
      <c r="AN45" s="88"/>
      <c r="AO45" s="86"/>
      <c r="AP45" s="86"/>
      <c r="AQ45" s="86"/>
      <c r="CB45" s="17"/>
      <c r="CC45" s="17"/>
    </row>
    <row r="46" spans="1:81" ht="12.75" customHeight="1" thickBot="1" x14ac:dyDescent="0.25">
      <c r="A46" s="97"/>
      <c r="B46" s="29" t="s">
        <v>39</v>
      </c>
      <c r="C46" s="122"/>
      <c r="D46" s="230"/>
      <c r="E46" s="134" t="e">
        <f>NbreCaprinsFemellesAuPré_0_3Mois</f>
        <v>#REF!</v>
      </c>
      <c r="F46" s="131"/>
      <c r="G46" s="131"/>
      <c r="H46" s="131"/>
      <c r="I46" s="131"/>
      <c r="J46" s="47"/>
      <c r="K46" s="47"/>
      <c r="L46" s="131"/>
      <c r="M46" s="131"/>
      <c r="N46" s="132"/>
      <c r="O46" s="120"/>
      <c r="P46" s="115"/>
      <c r="Q46" s="115"/>
      <c r="R46" s="116"/>
      <c r="S46" s="58"/>
      <c r="T46" s="60"/>
      <c r="U46" s="60"/>
      <c r="V46" s="60"/>
      <c r="W46" s="60"/>
      <c r="AJ46" s="56"/>
      <c r="AK46" s="56"/>
      <c r="AL46" s="56"/>
      <c r="AN46" s="88"/>
      <c r="AO46" s="86"/>
      <c r="AP46" s="86"/>
      <c r="AQ46" s="86"/>
      <c r="CB46" s="17"/>
      <c r="CC46" s="17"/>
    </row>
    <row r="47" spans="1:81" ht="12.75" customHeight="1" x14ac:dyDescent="0.2">
      <c r="A47" s="97"/>
      <c r="B47" s="27" t="s">
        <v>40</v>
      </c>
      <c r="C47" s="123"/>
      <c r="D47" s="4"/>
      <c r="E47" s="133" t="e">
        <f>NbreCaprinsMâlesAuPré_3_6Mois</f>
        <v>#REF!</v>
      </c>
      <c r="F47" s="131"/>
      <c r="G47" s="131"/>
      <c r="H47" s="131"/>
      <c r="I47" s="131"/>
      <c r="J47" s="420" t="s">
        <v>453</v>
      </c>
      <c r="K47" s="421"/>
      <c r="L47" s="131"/>
      <c r="M47" s="131"/>
      <c r="N47" s="132"/>
      <c r="O47" s="120"/>
      <c r="P47" s="115"/>
      <c r="Q47" s="115"/>
      <c r="R47" s="116"/>
      <c r="S47" s="58"/>
      <c r="T47" s="60"/>
      <c r="U47" s="60"/>
      <c r="V47" s="60"/>
      <c r="W47" s="60"/>
      <c r="AJ47" s="56"/>
      <c r="AK47" s="56"/>
      <c r="AL47" s="56"/>
      <c r="AN47" s="88"/>
      <c r="AO47" s="86"/>
      <c r="AP47" s="86"/>
      <c r="AQ47" s="86"/>
      <c r="CB47" s="17"/>
      <c r="CC47" s="17"/>
    </row>
    <row r="48" spans="1:81" ht="12.75" customHeight="1" thickBot="1" x14ac:dyDescent="0.25">
      <c r="A48" s="97"/>
      <c r="B48" s="14" t="s">
        <v>41</v>
      </c>
      <c r="C48" s="5"/>
      <c r="D48" s="230"/>
      <c r="E48" s="134" t="e">
        <f>NbreCaprinsFemellesAuPré_3_6Mois</f>
        <v>#REF!</v>
      </c>
      <c r="F48" s="131"/>
      <c r="G48" s="131"/>
      <c r="H48" s="131"/>
      <c r="I48" s="131"/>
      <c r="J48" s="418"/>
      <c r="K48" s="419"/>
      <c r="L48" s="131"/>
      <c r="M48" s="131"/>
      <c r="N48" s="132"/>
      <c r="O48" s="96"/>
      <c r="P48" s="115"/>
      <c r="Q48" s="115"/>
      <c r="R48" s="116"/>
      <c r="S48" s="58"/>
      <c r="T48" s="60"/>
      <c r="U48" s="60"/>
      <c r="V48" s="60"/>
      <c r="W48" s="60"/>
      <c r="AJ48" s="56"/>
      <c r="AK48" s="56"/>
      <c r="AL48" s="56"/>
      <c r="AN48" s="88"/>
      <c r="AO48" s="86"/>
      <c r="AP48" s="86"/>
      <c r="AQ48" s="86"/>
      <c r="CB48" s="17"/>
      <c r="CC48" s="17"/>
    </row>
    <row r="49" spans="1:81" ht="12.75" customHeight="1" x14ac:dyDescent="0.2">
      <c r="A49" s="97"/>
      <c r="B49" s="28" t="s">
        <v>120</v>
      </c>
      <c r="C49" s="121"/>
      <c r="D49" s="4"/>
      <c r="E49" s="133" t="e">
        <f>NbreCaprinsMâlesAuPré_6_12Mois</f>
        <v>#REF!</v>
      </c>
      <c r="F49" s="131"/>
      <c r="G49" s="131"/>
      <c r="H49" s="131"/>
      <c r="I49" s="131"/>
      <c r="J49" s="103"/>
      <c r="K49" s="47"/>
      <c r="L49" s="131"/>
      <c r="M49" s="131"/>
      <c r="N49" s="132"/>
      <c r="O49" s="96"/>
      <c r="P49" s="115"/>
      <c r="Q49" s="115"/>
      <c r="R49" s="116"/>
      <c r="S49" s="58"/>
      <c r="T49" s="60"/>
      <c r="U49" s="60"/>
      <c r="V49" s="60"/>
      <c r="W49" s="60"/>
      <c r="AJ49" s="56"/>
      <c r="AK49" s="56"/>
      <c r="AL49" s="56"/>
      <c r="AN49" s="88"/>
      <c r="AO49" s="86"/>
      <c r="AP49" s="86"/>
      <c r="AQ49" s="86"/>
      <c r="CB49" s="17"/>
      <c r="CC49" s="17"/>
    </row>
    <row r="50" spans="1:81" ht="12.75" customHeight="1" thickBot="1" x14ac:dyDescent="0.25">
      <c r="A50" s="97"/>
      <c r="B50" s="29" t="s">
        <v>139</v>
      </c>
      <c r="C50" s="122"/>
      <c r="D50" s="230"/>
      <c r="E50" s="135" t="e">
        <f>NbreCaprinsFemellesAuPré_6_12Mois</f>
        <v>#REF!</v>
      </c>
      <c r="F50" s="131"/>
      <c r="G50" s="131"/>
      <c r="H50" s="131"/>
      <c r="I50" s="131"/>
      <c r="J50" s="420" t="s">
        <v>873</v>
      </c>
      <c r="K50" s="421"/>
      <c r="L50" s="131"/>
      <c r="M50" s="131"/>
      <c r="N50" s="132"/>
      <c r="O50" s="138"/>
      <c r="P50" s="115"/>
      <c r="Q50" s="115"/>
      <c r="R50" s="116"/>
      <c r="S50" s="58"/>
      <c r="T50" s="60"/>
      <c r="U50" s="60"/>
      <c r="V50" s="60"/>
      <c r="W50" s="60"/>
      <c r="AJ50" s="56"/>
      <c r="AK50" s="56"/>
      <c r="AL50" s="56"/>
      <c r="AN50" s="88"/>
      <c r="AO50" s="86"/>
      <c r="AP50" s="86"/>
      <c r="AQ50" s="86"/>
      <c r="CB50" s="17"/>
      <c r="CC50" s="17"/>
    </row>
    <row r="51" spans="1:81" ht="12.75" customHeight="1" x14ac:dyDescent="0.2">
      <c r="A51" s="97"/>
      <c r="B51" s="27" t="s">
        <v>140</v>
      </c>
      <c r="C51" s="123"/>
      <c r="D51" s="4"/>
      <c r="E51" s="133" t="e">
        <f>SUM(NbreCaprinsMâlesAuPré_12_18Mois+NbreCaprinsMâlesAuPré_18_24Mois+NbreCaprinsMâlesAuPré_24_36Mois+NbreCaprinsMâlesAuPré_3AnsEtPlus)</f>
        <v>#REF!</v>
      </c>
      <c r="F51" s="131"/>
      <c r="G51" s="131"/>
      <c r="H51" s="131"/>
      <c r="I51" s="131"/>
      <c r="J51" s="418"/>
      <c r="K51" s="419"/>
      <c r="L51" s="131"/>
      <c r="M51" s="131"/>
      <c r="N51" s="132"/>
      <c r="O51" s="96"/>
      <c r="P51" s="115"/>
      <c r="Q51" s="115"/>
      <c r="R51" s="116"/>
      <c r="S51" s="58"/>
      <c r="T51" s="60"/>
      <c r="U51" s="60"/>
      <c r="V51" s="60"/>
      <c r="W51" s="60"/>
      <c r="AJ51" s="56"/>
      <c r="AK51" s="56"/>
      <c r="AL51" s="56"/>
      <c r="AN51" s="88"/>
      <c r="AO51" s="86"/>
      <c r="AP51" s="86"/>
      <c r="AQ51" s="86"/>
      <c r="CB51" s="17"/>
      <c r="CC51" s="17"/>
    </row>
    <row r="52" spans="1:81" ht="12.75" customHeight="1" thickBot="1" x14ac:dyDescent="0.25">
      <c r="A52" s="97"/>
      <c r="B52" s="14" t="s">
        <v>141</v>
      </c>
      <c r="C52" s="5"/>
      <c r="D52" s="230"/>
      <c r="E52" s="134" t="e">
        <f>SUM(NbreCaprinsFemellesAuPré_12_18Mois+NbreCaprinsFemellesAuPré_18_24Mois+NbreCaprinsFemellesAuPré_24_36Mois+NbreCaprinsFemellesAuPré_3AnsEtPlus)</f>
        <v>#REF!</v>
      </c>
      <c r="F52" s="131"/>
      <c r="G52" s="131"/>
      <c r="H52" s="131"/>
      <c r="I52" s="131"/>
      <c r="J52" s="103"/>
      <c r="K52" s="47"/>
      <c r="L52" s="131"/>
      <c r="M52" s="131"/>
      <c r="N52" s="132"/>
      <c r="O52" s="96"/>
      <c r="P52" s="115"/>
      <c r="Q52" s="115"/>
      <c r="R52" s="116"/>
      <c r="S52" s="58"/>
      <c r="T52" s="60"/>
      <c r="U52" s="60"/>
      <c r="V52" s="60"/>
      <c r="W52" s="60"/>
      <c r="AJ52" s="56"/>
      <c r="AK52" s="56"/>
      <c r="AL52" s="56"/>
      <c r="AN52" s="88"/>
      <c r="AO52" s="86"/>
      <c r="AP52" s="86"/>
      <c r="AQ52" s="86"/>
      <c r="CB52" s="17"/>
      <c r="CC52" s="17"/>
    </row>
    <row r="53" spans="1:81" ht="12.75" customHeight="1" x14ac:dyDescent="0.2">
      <c r="A53" s="97"/>
      <c r="B53" s="47"/>
      <c r="C53" s="131"/>
      <c r="D53" s="131"/>
      <c r="E53" s="47"/>
      <c r="F53" s="131"/>
      <c r="G53" s="131"/>
      <c r="H53" s="131"/>
      <c r="I53" s="131"/>
      <c r="J53" s="426" t="s">
        <v>256</v>
      </c>
      <c r="K53" s="427"/>
      <c r="L53" s="131"/>
      <c r="M53" s="55"/>
      <c r="N53" s="54"/>
      <c r="O53" s="120"/>
      <c r="P53" s="115"/>
      <c r="Q53" s="115"/>
      <c r="R53" s="116"/>
      <c r="S53" s="58"/>
      <c r="T53" s="60"/>
      <c r="U53" s="60"/>
      <c r="V53" s="60"/>
      <c r="W53" s="60"/>
      <c r="AJ53" s="56"/>
      <c r="AK53" s="56"/>
      <c r="AL53" s="56"/>
      <c r="AN53" s="88"/>
      <c r="AO53" s="86"/>
      <c r="AP53" s="86"/>
      <c r="AQ53" s="86"/>
      <c r="CB53" s="17"/>
      <c r="CC53" s="17"/>
    </row>
    <row r="54" spans="1:81" ht="12.75" customHeight="1" x14ac:dyDescent="0.2">
      <c r="A54" s="97"/>
      <c r="B54" s="47"/>
      <c r="C54" s="131"/>
      <c r="D54" s="131"/>
      <c r="E54" s="47"/>
      <c r="F54" s="131"/>
      <c r="G54" s="131"/>
      <c r="H54" s="131"/>
      <c r="I54" s="131"/>
      <c r="J54" s="418"/>
      <c r="K54" s="419"/>
      <c r="L54" s="131"/>
      <c r="M54" s="55"/>
      <c r="N54" s="54"/>
      <c r="O54" s="120"/>
      <c r="P54" s="115"/>
      <c r="Q54" s="115"/>
      <c r="R54" s="116"/>
      <c r="S54" s="58"/>
      <c r="T54" s="60"/>
      <c r="U54" s="60"/>
      <c r="V54" s="60"/>
      <c r="W54" s="60"/>
      <c r="AJ54" s="56"/>
      <c r="AK54" s="56"/>
      <c r="AL54" s="56"/>
      <c r="AN54" s="88"/>
      <c r="AO54" s="86"/>
      <c r="AP54" s="86"/>
      <c r="AQ54" s="86"/>
      <c r="CB54" s="17"/>
      <c r="CC54" s="17"/>
    </row>
    <row r="55" spans="1:81" ht="12.75" customHeight="1" x14ac:dyDescent="0.2">
      <c r="A55" s="97"/>
      <c r="B55" s="47"/>
      <c r="C55" s="131"/>
      <c r="D55" s="131"/>
      <c r="E55" s="47"/>
      <c r="F55" s="131"/>
      <c r="G55" s="131"/>
      <c r="H55" s="131"/>
      <c r="I55" s="131"/>
      <c r="J55" s="47"/>
      <c r="K55" s="47"/>
      <c r="L55" s="55"/>
      <c r="M55" s="55"/>
      <c r="N55" s="54"/>
      <c r="O55" s="120"/>
      <c r="P55" s="115"/>
      <c r="Q55" s="115"/>
      <c r="R55" s="116"/>
      <c r="S55" s="58"/>
      <c r="T55" s="60"/>
      <c r="U55" s="60"/>
      <c r="V55" s="60"/>
      <c r="W55" s="60"/>
      <c r="AJ55" s="56"/>
      <c r="AK55" s="56"/>
      <c r="AL55" s="56"/>
      <c r="AN55" s="88"/>
      <c r="AO55" s="86"/>
      <c r="AP55" s="86"/>
      <c r="AQ55" s="86"/>
      <c r="CB55" s="17"/>
      <c r="CC55" s="17"/>
    </row>
    <row r="56" spans="1:81" ht="12.75" customHeight="1" x14ac:dyDescent="0.2">
      <c r="A56" s="97"/>
      <c r="B56" s="47"/>
      <c r="C56" s="131"/>
      <c r="D56" s="131"/>
      <c r="E56" s="47"/>
      <c r="F56" s="131"/>
      <c r="G56" s="131"/>
      <c r="H56" s="131"/>
      <c r="I56" s="131"/>
      <c r="J56" s="18" t="s">
        <v>89</v>
      </c>
      <c r="K56" s="106"/>
      <c r="L56" s="48" t="str">
        <f>IF(OR(ChoixPaillageCaprins="",ChoixPaillageCaprins=NON),"","coût : "&amp;PrixPaille*84*SUM(TotalCaprins)/1000&amp;"€/an (si pas de mise au pré l'été, sinon "&amp;PrixPaille*(84-35)*SUM(TotalCaprins)/1000&amp;"€/an)")</f>
        <v/>
      </c>
      <c r="M56" s="55"/>
      <c r="N56" s="54"/>
      <c r="O56" s="120"/>
      <c r="P56" s="115"/>
      <c r="Q56" s="115"/>
      <c r="R56" s="116"/>
      <c r="S56" s="58"/>
      <c r="T56" s="60"/>
      <c r="U56" s="60"/>
      <c r="V56" s="60"/>
      <c r="W56" s="60"/>
      <c r="AJ56" s="56"/>
      <c r="AK56" s="56"/>
      <c r="AL56" s="56"/>
      <c r="AN56" s="88"/>
      <c r="AO56" s="86"/>
      <c r="AP56" s="86"/>
      <c r="AQ56" s="86"/>
      <c r="CB56" s="17"/>
      <c r="CC56" s="17"/>
    </row>
    <row r="57" spans="1:81" ht="12.75" customHeight="1" x14ac:dyDescent="0.2">
      <c r="A57" s="97"/>
      <c r="B57" s="47"/>
      <c r="C57" s="131"/>
      <c r="D57" s="131"/>
      <c r="E57" s="47"/>
      <c r="F57" s="131"/>
      <c r="G57" s="131"/>
      <c r="H57" s="131"/>
      <c r="I57" s="131"/>
      <c r="J57" s="19" t="s">
        <v>88</v>
      </c>
      <c r="K57" s="106"/>
      <c r="L57" s="48" t="str">
        <f>IF(ChoixVaccinCaprins=OUI,"coût : " &amp;SUM(TotalCaprins)*PrixVaccinCaprin &amp;"€/an","")</f>
        <v/>
      </c>
      <c r="M57" s="55"/>
      <c r="N57" s="54"/>
      <c r="O57" s="120"/>
      <c r="P57" s="115"/>
      <c r="Q57" s="115"/>
      <c r="R57" s="116"/>
      <c r="S57" s="58"/>
      <c r="T57" s="60"/>
      <c r="U57" s="60"/>
      <c r="V57" s="60"/>
      <c r="W57" s="60"/>
      <c r="AJ57" s="56"/>
      <c r="AK57" s="56"/>
      <c r="AL57" s="56"/>
      <c r="AN57" s="88"/>
      <c r="AO57" s="86"/>
      <c r="AP57" s="86"/>
      <c r="AQ57" s="86"/>
      <c r="CB57" s="17"/>
      <c r="CC57" s="17"/>
    </row>
    <row r="58" spans="1:81" ht="12.75" customHeight="1" thickBot="1" x14ac:dyDescent="0.25">
      <c r="A58" s="107"/>
      <c r="B58" s="109"/>
      <c r="C58" s="136"/>
      <c r="D58" s="136"/>
      <c r="E58" s="109"/>
      <c r="F58" s="136"/>
      <c r="G58" s="136"/>
      <c r="H58" s="136"/>
      <c r="I58" s="136"/>
      <c r="J58" s="136"/>
      <c r="K58" s="136"/>
      <c r="L58" s="136"/>
      <c r="M58" s="136"/>
      <c r="N58" s="137"/>
      <c r="O58" s="120"/>
      <c r="P58" s="115"/>
      <c r="Q58" s="115"/>
      <c r="R58" s="116"/>
      <c r="S58" s="58"/>
      <c r="T58" s="60"/>
      <c r="U58" s="60"/>
      <c r="V58" s="60"/>
      <c r="W58" s="60"/>
      <c r="AJ58" s="56"/>
      <c r="AK58" s="56"/>
      <c r="AL58" s="56"/>
      <c r="AN58" s="88"/>
      <c r="AO58" s="86"/>
      <c r="AP58" s="86"/>
      <c r="AQ58" s="86"/>
      <c r="CB58" s="17"/>
      <c r="CC58" s="17"/>
    </row>
    <row r="59" spans="1:81" ht="12.75" customHeight="1" thickBot="1" x14ac:dyDescent="0.25">
      <c r="A59" s="111" t="s">
        <v>142</v>
      </c>
      <c r="B59" s="112"/>
      <c r="C59" s="113"/>
      <c r="D59" s="113"/>
      <c r="E59" s="112"/>
      <c r="F59" s="113"/>
      <c r="G59" s="113"/>
      <c r="H59" s="113"/>
      <c r="I59" s="113"/>
      <c r="J59" s="113"/>
      <c r="K59" s="113"/>
      <c r="L59" s="113"/>
      <c r="M59" s="113"/>
      <c r="N59" s="114"/>
      <c r="O59" s="120"/>
      <c r="P59" s="115"/>
      <c r="Q59" s="115"/>
      <c r="R59" s="116"/>
      <c r="S59" s="58"/>
      <c r="T59" s="60"/>
      <c r="U59" s="60"/>
      <c r="V59" s="60"/>
      <c r="W59" s="60"/>
      <c r="AJ59" s="56"/>
      <c r="AK59" s="56"/>
      <c r="AL59" s="56"/>
      <c r="AN59" s="88"/>
      <c r="AO59" s="86"/>
      <c r="AP59" s="86"/>
      <c r="AQ59" s="86"/>
      <c r="CB59" s="17"/>
      <c r="CC59" s="17"/>
    </row>
    <row r="60" spans="1:81" ht="12.75" customHeight="1" thickBot="1" x14ac:dyDescent="0.25">
      <c r="A60" s="117" t="str">
        <f>"Total : "&amp;SUM(TotalPorcins)</f>
        <v>Total : 0</v>
      </c>
      <c r="B60" s="51"/>
      <c r="C60" s="33" t="s">
        <v>257</v>
      </c>
      <c r="D60" s="78" t="s">
        <v>829</v>
      </c>
      <c r="E60" s="51"/>
      <c r="F60" s="118"/>
      <c r="G60" s="118"/>
      <c r="H60" s="118"/>
      <c r="I60" s="118"/>
      <c r="J60" s="422" t="s">
        <v>255</v>
      </c>
      <c r="K60" s="422"/>
      <c r="L60" s="49"/>
      <c r="M60" s="51"/>
      <c r="N60" s="44"/>
      <c r="O60" s="120"/>
      <c r="P60" s="115"/>
      <c r="Q60" s="115"/>
      <c r="R60" s="116"/>
      <c r="S60" s="58"/>
      <c r="T60" s="60"/>
      <c r="U60" s="60"/>
      <c r="V60" s="60"/>
      <c r="W60" s="60"/>
      <c r="AJ60" s="56"/>
      <c r="AK60" s="56"/>
      <c r="AL60" s="56"/>
      <c r="AN60" s="88"/>
      <c r="AO60" s="86"/>
      <c r="AP60" s="86"/>
      <c r="AQ60" s="86"/>
      <c r="CB60" s="17"/>
      <c r="CC60" s="17"/>
    </row>
    <row r="61" spans="1:81" ht="12.75" customHeight="1" x14ac:dyDescent="0.2">
      <c r="A61" s="117"/>
      <c r="B61" s="20" t="s">
        <v>224</v>
      </c>
      <c r="C61" s="123"/>
      <c r="D61" s="4"/>
      <c r="E61" s="51"/>
      <c r="F61" s="118"/>
      <c r="G61" s="118"/>
      <c r="H61" s="118"/>
      <c r="I61" s="118"/>
      <c r="J61" s="418"/>
      <c r="K61" s="419"/>
      <c r="L61" s="49"/>
      <c r="M61" s="51"/>
      <c r="N61" s="44"/>
      <c r="O61" s="120"/>
      <c r="P61" s="115"/>
      <c r="Q61" s="115"/>
      <c r="R61" s="116"/>
      <c r="S61" s="58"/>
      <c r="T61" s="60"/>
      <c r="U61" s="60"/>
      <c r="V61" s="60"/>
      <c r="W61" s="60"/>
      <c r="AJ61" s="56"/>
      <c r="AK61" s="56"/>
      <c r="AL61" s="56"/>
      <c r="AN61" s="88"/>
      <c r="AO61" s="86"/>
      <c r="AP61" s="86"/>
      <c r="AQ61" s="86"/>
      <c r="CB61" s="17"/>
      <c r="CC61" s="17"/>
    </row>
    <row r="62" spans="1:81" ht="12.75" customHeight="1" thickBot="1" x14ac:dyDescent="0.25">
      <c r="A62" s="117"/>
      <c r="B62" s="21" t="s">
        <v>49</v>
      </c>
      <c r="C62" s="5"/>
      <c r="D62" s="230"/>
      <c r="E62" s="51"/>
      <c r="F62" s="118"/>
      <c r="G62" s="118"/>
      <c r="H62" s="118"/>
      <c r="I62" s="118"/>
      <c r="J62" s="49"/>
      <c r="K62" s="49"/>
      <c r="L62" s="49"/>
      <c r="M62" s="49"/>
      <c r="N62" s="44"/>
      <c r="O62" s="120"/>
      <c r="P62" s="115"/>
      <c r="Q62" s="115"/>
      <c r="R62" s="116"/>
      <c r="S62" s="58"/>
      <c r="T62" s="60"/>
      <c r="U62" s="60"/>
      <c r="V62" s="60"/>
      <c r="W62" s="60"/>
      <c r="AJ62" s="56"/>
      <c r="AK62" s="56"/>
      <c r="AL62" s="56"/>
      <c r="AN62" s="88"/>
      <c r="AO62" s="86"/>
      <c r="AP62" s="86"/>
      <c r="AQ62" s="86"/>
      <c r="CB62" s="17"/>
      <c r="CC62" s="17"/>
    </row>
    <row r="63" spans="1:81" ht="12.75" customHeight="1" x14ac:dyDescent="0.2">
      <c r="A63" s="117"/>
      <c r="B63" s="22" t="s">
        <v>12</v>
      </c>
      <c r="C63" s="123"/>
      <c r="D63" s="4"/>
      <c r="E63" s="51"/>
      <c r="F63" s="118"/>
      <c r="G63" s="118"/>
      <c r="H63" s="118"/>
      <c r="I63" s="118"/>
      <c r="J63" s="426" t="s">
        <v>64</v>
      </c>
      <c r="K63" s="427"/>
      <c r="L63" s="51"/>
      <c r="M63" s="51"/>
      <c r="N63" s="44"/>
      <c r="O63" s="120"/>
      <c r="P63" s="115"/>
      <c r="Q63" s="115"/>
      <c r="R63" s="116"/>
      <c r="S63" s="58"/>
      <c r="T63" s="60"/>
      <c r="U63" s="60"/>
      <c r="V63" s="60"/>
      <c r="W63" s="60"/>
      <c r="AJ63" s="56"/>
      <c r="AK63" s="56"/>
      <c r="AL63" s="56"/>
      <c r="AN63" s="88"/>
      <c r="AO63" s="86"/>
      <c r="AP63" s="86"/>
      <c r="AQ63" s="86"/>
      <c r="CB63" s="17"/>
      <c r="CC63" s="17"/>
    </row>
    <row r="64" spans="1:81" ht="12.75" customHeight="1" thickBot="1" x14ac:dyDescent="0.25">
      <c r="A64" s="117"/>
      <c r="B64" s="23" t="s">
        <v>50</v>
      </c>
      <c r="C64" s="5"/>
      <c r="D64" s="230"/>
      <c r="E64" s="51"/>
      <c r="F64" s="118"/>
      <c r="G64" s="118"/>
      <c r="H64" s="118"/>
      <c r="I64" s="118"/>
      <c r="J64" s="418"/>
      <c r="K64" s="419"/>
      <c r="L64" s="51"/>
      <c r="M64" s="51"/>
      <c r="N64" s="44"/>
      <c r="O64" s="120"/>
      <c r="P64" s="115"/>
      <c r="Q64" s="115"/>
      <c r="R64" s="116"/>
      <c r="S64" s="58"/>
      <c r="T64" s="60"/>
      <c r="U64" s="60"/>
      <c r="V64" s="60"/>
      <c r="W64" s="60"/>
      <c r="AJ64" s="56"/>
      <c r="AK64" s="56"/>
      <c r="AL64" s="56"/>
      <c r="AN64" s="88"/>
      <c r="AO64" s="86"/>
      <c r="AP64" s="86"/>
      <c r="AQ64" s="86"/>
      <c r="CB64" s="17"/>
      <c r="CC64" s="17"/>
    </row>
    <row r="65" spans="1:81" ht="12.75" customHeight="1" x14ac:dyDescent="0.2">
      <c r="A65" s="117"/>
      <c r="B65" s="30" t="s">
        <v>51</v>
      </c>
      <c r="C65" s="123"/>
      <c r="D65" s="4"/>
      <c r="E65" s="51"/>
      <c r="F65" s="118"/>
      <c r="G65" s="118"/>
      <c r="H65" s="118"/>
      <c r="I65" s="118"/>
      <c r="J65" s="139"/>
      <c r="K65" s="140"/>
      <c r="L65" s="49"/>
      <c r="M65" s="118"/>
      <c r="N65" s="119"/>
      <c r="O65" s="120"/>
      <c r="P65" s="115"/>
      <c r="Q65" s="115"/>
      <c r="R65" s="116"/>
      <c r="S65" s="58"/>
      <c r="T65" s="60"/>
      <c r="U65" s="60"/>
      <c r="V65" s="60"/>
      <c r="W65" s="60"/>
      <c r="AJ65" s="56"/>
      <c r="AK65" s="56"/>
      <c r="AL65" s="56"/>
      <c r="AN65" s="88"/>
      <c r="AO65" s="86"/>
      <c r="AP65" s="86"/>
      <c r="AQ65" s="86"/>
      <c r="CB65" s="17"/>
      <c r="CC65" s="17"/>
    </row>
    <row r="66" spans="1:81" ht="12.75" customHeight="1" thickBot="1" x14ac:dyDescent="0.25">
      <c r="A66" s="117"/>
      <c r="B66" s="31" t="s">
        <v>52</v>
      </c>
      <c r="C66" s="5"/>
      <c r="D66" s="230"/>
      <c r="E66" s="51"/>
      <c r="F66" s="118"/>
      <c r="G66" s="118"/>
      <c r="H66" s="118"/>
      <c r="I66" s="118"/>
      <c r="J66" s="420" t="s">
        <v>453</v>
      </c>
      <c r="K66" s="421"/>
      <c r="L66" s="51"/>
      <c r="M66" s="51"/>
      <c r="N66" s="44"/>
      <c r="O66" s="120"/>
      <c r="P66" s="115"/>
      <c r="Q66" s="115"/>
      <c r="R66" s="116"/>
      <c r="S66" s="58"/>
      <c r="T66" s="60"/>
      <c r="U66" s="60"/>
      <c r="V66" s="60"/>
      <c r="W66" s="60"/>
      <c r="AJ66" s="56"/>
      <c r="AK66" s="56"/>
      <c r="AL66" s="56"/>
      <c r="AN66" s="88"/>
      <c r="AO66" s="86"/>
      <c r="AP66" s="86"/>
      <c r="AQ66" s="86"/>
      <c r="CB66" s="17"/>
      <c r="CC66" s="17"/>
    </row>
    <row r="67" spans="1:81" ht="12.75" customHeight="1" x14ac:dyDescent="0.2">
      <c r="A67" s="117"/>
      <c r="B67" s="22" t="s">
        <v>53</v>
      </c>
      <c r="C67" s="123"/>
      <c r="D67" s="4"/>
      <c r="E67" s="51"/>
      <c r="F67" s="118"/>
      <c r="G67" s="118"/>
      <c r="H67" s="118"/>
      <c r="I67" s="118"/>
      <c r="J67" s="418"/>
      <c r="K67" s="419"/>
      <c r="L67" s="51"/>
      <c r="M67" s="51"/>
      <c r="N67" s="44"/>
      <c r="O67" s="120"/>
      <c r="P67" s="115"/>
      <c r="Q67" s="115"/>
      <c r="R67" s="116"/>
      <c r="S67" s="58"/>
      <c r="T67" s="60"/>
      <c r="U67" s="60"/>
      <c r="V67" s="60"/>
      <c r="W67" s="60"/>
      <c r="AJ67" s="56"/>
      <c r="AK67" s="56"/>
      <c r="AL67" s="56"/>
      <c r="AN67" s="88"/>
      <c r="AO67" s="86"/>
      <c r="AP67" s="86"/>
      <c r="AQ67" s="86"/>
      <c r="CB67" s="17"/>
      <c r="CC67" s="17"/>
    </row>
    <row r="68" spans="1:81" ht="12.75" customHeight="1" thickBot="1" x14ac:dyDescent="0.25">
      <c r="A68" s="117"/>
      <c r="B68" s="23" t="s">
        <v>54</v>
      </c>
      <c r="C68" s="5"/>
      <c r="D68" s="230"/>
      <c r="E68" s="51"/>
      <c r="F68" s="118"/>
      <c r="G68" s="118"/>
      <c r="H68" s="118"/>
      <c r="I68" s="118"/>
      <c r="J68" s="124"/>
      <c r="K68" s="51"/>
      <c r="L68" s="118"/>
      <c r="M68" s="118"/>
      <c r="N68" s="119"/>
      <c r="O68" s="120"/>
      <c r="P68" s="115"/>
      <c r="Q68" s="115"/>
      <c r="R68" s="116"/>
      <c r="S68" s="58"/>
      <c r="T68" s="60"/>
      <c r="U68" s="60"/>
      <c r="V68" s="60"/>
      <c r="W68" s="60"/>
      <c r="AJ68" s="56"/>
      <c r="AK68" s="56"/>
      <c r="AL68" s="56"/>
      <c r="AN68" s="88"/>
      <c r="AO68" s="86"/>
      <c r="AP68" s="86"/>
      <c r="AQ68" s="86"/>
      <c r="CB68" s="17"/>
      <c r="CC68" s="17"/>
    </row>
    <row r="69" spans="1:81" ht="12.75" customHeight="1" x14ac:dyDescent="0.2">
      <c r="A69" s="117"/>
      <c r="B69" s="30" t="s">
        <v>55</v>
      </c>
      <c r="C69" s="123"/>
      <c r="D69" s="4"/>
      <c r="E69" s="51"/>
      <c r="F69" s="118"/>
      <c r="G69" s="118"/>
      <c r="H69" s="118"/>
      <c r="I69" s="118"/>
      <c r="J69" s="420" t="s">
        <v>873</v>
      </c>
      <c r="K69" s="421"/>
      <c r="L69" s="51"/>
      <c r="M69" s="50"/>
      <c r="N69" s="40"/>
      <c r="O69" s="120"/>
      <c r="P69" s="115"/>
      <c r="Q69" s="115"/>
      <c r="R69" s="116"/>
      <c r="S69" s="58"/>
      <c r="T69" s="60"/>
      <c r="U69" s="60"/>
      <c r="V69" s="60"/>
      <c r="W69" s="60"/>
      <c r="AJ69" s="56"/>
      <c r="AK69" s="56"/>
      <c r="AL69" s="56"/>
      <c r="AN69" s="88"/>
      <c r="AO69" s="86"/>
      <c r="AP69" s="86"/>
      <c r="AQ69" s="86"/>
      <c r="CB69" s="17"/>
      <c r="CC69" s="17"/>
    </row>
    <row r="70" spans="1:81" ht="12.75" customHeight="1" thickBot="1" x14ac:dyDescent="0.25">
      <c r="A70" s="117"/>
      <c r="B70" s="32" t="s">
        <v>56</v>
      </c>
      <c r="C70" s="5"/>
      <c r="D70" s="230"/>
      <c r="E70" s="51"/>
      <c r="F70" s="118"/>
      <c r="G70" s="118"/>
      <c r="H70" s="118"/>
      <c r="I70" s="118"/>
      <c r="J70" s="418"/>
      <c r="K70" s="419"/>
      <c r="L70" s="51"/>
      <c r="M70" s="50"/>
      <c r="N70" s="40"/>
      <c r="O70" s="120"/>
      <c r="P70" s="115"/>
      <c r="Q70" s="115"/>
      <c r="R70" s="116"/>
      <c r="S70" s="58"/>
      <c r="T70" s="60"/>
      <c r="U70" s="60"/>
      <c r="V70" s="60"/>
      <c r="W70" s="60"/>
      <c r="AJ70" s="56"/>
      <c r="AK70" s="56"/>
      <c r="AL70" s="56"/>
      <c r="AN70" s="88"/>
      <c r="AO70" s="86"/>
      <c r="AP70" s="86"/>
      <c r="AQ70" s="86"/>
      <c r="CB70" s="17"/>
      <c r="CC70" s="17"/>
    </row>
    <row r="71" spans="1:81" ht="12.75" customHeight="1" x14ac:dyDescent="0.2">
      <c r="A71" s="117"/>
      <c r="B71" s="118"/>
      <c r="C71" s="118"/>
      <c r="D71" s="118"/>
      <c r="E71" s="118"/>
      <c r="F71" s="118"/>
      <c r="G71" s="118"/>
      <c r="H71" s="118"/>
      <c r="I71" s="118"/>
      <c r="J71" s="51"/>
      <c r="K71" s="51"/>
      <c r="L71" s="118"/>
      <c r="M71" s="118"/>
      <c r="N71" s="40"/>
      <c r="O71" s="120"/>
      <c r="P71" s="115"/>
      <c r="Q71" s="115"/>
      <c r="R71" s="116"/>
      <c r="S71" s="58"/>
      <c r="T71" s="60"/>
      <c r="U71" s="60"/>
      <c r="V71" s="60"/>
      <c r="W71" s="60"/>
      <c r="AJ71" s="56"/>
      <c r="AK71" s="56"/>
      <c r="AL71" s="56"/>
      <c r="AN71" s="88"/>
      <c r="AO71" s="86"/>
      <c r="AP71" s="86"/>
      <c r="AQ71" s="86"/>
      <c r="CB71" s="17"/>
      <c r="CC71" s="17"/>
    </row>
    <row r="72" spans="1:81" ht="12.75" customHeight="1" x14ac:dyDescent="0.2">
      <c r="A72" s="117"/>
      <c r="B72" s="118"/>
      <c r="C72" s="118"/>
      <c r="D72" s="118"/>
      <c r="E72" s="118"/>
      <c r="F72" s="118"/>
      <c r="G72" s="118"/>
      <c r="H72" s="118"/>
      <c r="I72" s="118"/>
      <c r="J72" s="426" t="s">
        <v>256</v>
      </c>
      <c r="K72" s="427"/>
      <c r="L72" s="51"/>
      <c r="M72" s="118"/>
      <c r="N72" s="40"/>
      <c r="O72" s="120"/>
      <c r="P72" s="115"/>
      <c r="Q72" s="115"/>
      <c r="R72" s="116"/>
      <c r="S72" s="58"/>
      <c r="T72" s="60"/>
      <c r="U72" s="60"/>
      <c r="V72" s="60"/>
      <c r="W72" s="60"/>
      <c r="AJ72" s="56"/>
      <c r="AK72" s="56"/>
      <c r="AL72" s="56"/>
      <c r="AN72" s="88"/>
      <c r="AO72" s="86"/>
      <c r="AP72" s="86"/>
      <c r="AQ72" s="86"/>
      <c r="CB72" s="17"/>
      <c r="CC72" s="17"/>
    </row>
    <row r="73" spans="1:81" ht="12.75" customHeight="1" x14ac:dyDescent="0.2">
      <c r="A73" s="117"/>
      <c r="B73" s="118"/>
      <c r="C73" s="118"/>
      <c r="D73" s="118"/>
      <c r="E73" s="118"/>
      <c r="F73" s="118"/>
      <c r="G73" s="118"/>
      <c r="H73" s="118"/>
      <c r="I73" s="118"/>
      <c r="J73" s="418"/>
      <c r="K73" s="419"/>
      <c r="L73" s="51"/>
      <c r="M73" s="118"/>
      <c r="N73" s="40"/>
      <c r="O73" s="120"/>
      <c r="P73" s="115"/>
      <c r="Q73" s="115"/>
      <c r="R73" s="116"/>
      <c r="S73" s="58"/>
      <c r="T73" s="60"/>
      <c r="U73" s="60"/>
      <c r="V73" s="60"/>
      <c r="W73" s="60"/>
      <c r="AJ73" s="56"/>
      <c r="AK73" s="56"/>
      <c r="AL73" s="56"/>
      <c r="AN73" s="88"/>
      <c r="AO73" s="86"/>
      <c r="AP73" s="86"/>
      <c r="AQ73" s="86"/>
      <c r="CB73" s="17"/>
      <c r="CC73" s="17"/>
    </row>
    <row r="74" spans="1:81" ht="12.75" customHeight="1" x14ac:dyDescent="0.2">
      <c r="A74" s="117"/>
      <c r="B74" s="118"/>
      <c r="C74" s="118"/>
      <c r="D74" s="118"/>
      <c r="E74" s="118"/>
      <c r="F74" s="118"/>
      <c r="G74" s="118"/>
      <c r="H74" s="118"/>
      <c r="I74" s="118"/>
      <c r="J74" s="118"/>
      <c r="K74" s="118"/>
      <c r="L74" s="50"/>
      <c r="M74" s="118"/>
      <c r="N74" s="40"/>
      <c r="O74" s="120"/>
      <c r="P74" s="115"/>
      <c r="Q74" s="115"/>
      <c r="R74" s="116"/>
      <c r="S74" s="58"/>
      <c r="T74" s="60"/>
      <c r="U74" s="60"/>
      <c r="V74" s="60"/>
      <c r="W74" s="60"/>
      <c r="AJ74" s="56"/>
      <c r="AK74" s="56"/>
      <c r="AL74" s="56"/>
      <c r="AN74" s="88"/>
      <c r="AO74" s="86"/>
      <c r="AP74" s="86"/>
      <c r="AQ74" s="86"/>
      <c r="CB74" s="17"/>
      <c r="CC74" s="17"/>
    </row>
    <row r="75" spans="1:81" ht="12.75" customHeight="1" x14ac:dyDescent="0.2">
      <c r="A75" s="117"/>
      <c r="B75" s="118"/>
      <c r="C75" s="118"/>
      <c r="D75" s="118"/>
      <c r="E75" s="118"/>
      <c r="F75" s="118"/>
      <c r="G75" s="118"/>
      <c r="H75" s="118"/>
      <c r="I75" s="118"/>
      <c r="J75" s="18" t="s">
        <v>89</v>
      </c>
      <c r="K75" s="106"/>
      <c r="L75" s="50" t="str">
        <f>IF(OR(ChoixPaillagePorcins="",ChoixPaillagePorcins=NON),"","coût : "&amp;PrixPaille*84*SUM(TotalPorcins)/1000&amp;"€/an")</f>
        <v/>
      </c>
      <c r="M75" s="118"/>
      <c r="N75" s="40"/>
      <c r="O75" s="120"/>
      <c r="P75" s="115"/>
      <c r="Q75" s="115"/>
      <c r="R75" s="116"/>
      <c r="S75" s="58"/>
      <c r="T75" s="60"/>
      <c r="U75" s="60"/>
      <c r="V75" s="60"/>
      <c r="W75" s="60"/>
      <c r="AJ75" s="56"/>
      <c r="AK75" s="56"/>
      <c r="AL75" s="56"/>
      <c r="AN75" s="88"/>
      <c r="AO75" s="86"/>
      <c r="AP75" s="86"/>
      <c r="AQ75" s="86"/>
      <c r="CB75" s="17"/>
      <c r="CC75" s="17"/>
    </row>
    <row r="76" spans="1:81" ht="12.75" customHeight="1" x14ac:dyDescent="0.2">
      <c r="A76" s="117"/>
      <c r="B76" s="118"/>
      <c r="C76" s="118"/>
      <c r="D76" s="118"/>
      <c r="E76" s="118"/>
      <c r="F76" s="118"/>
      <c r="G76" s="118"/>
      <c r="H76" s="118"/>
      <c r="I76" s="118"/>
      <c r="J76" s="19" t="s">
        <v>88</v>
      </c>
      <c r="K76" s="106"/>
      <c r="L76" s="50" t="str">
        <f>IF(ChoixVaccinPorcins=OUI,"coût : " &amp;SUM(TotalPorcins)*PrixVaccinPorcin &amp;"€/an","")</f>
        <v/>
      </c>
      <c r="M76" s="118"/>
      <c r="N76" s="40"/>
      <c r="O76" s="120"/>
      <c r="P76" s="115"/>
      <c r="Q76" s="115"/>
      <c r="R76" s="116"/>
      <c r="S76" s="58"/>
      <c r="T76" s="60"/>
      <c r="U76" s="60"/>
      <c r="V76" s="60"/>
      <c r="W76" s="60"/>
      <c r="AJ76" s="56"/>
      <c r="AK76" s="56"/>
      <c r="AL76" s="56"/>
      <c r="AN76" s="88"/>
      <c r="AO76" s="86"/>
      <c r="AP76" s="86"/>
      <c r="AQ76" s="86"/>
      <c r="CB76" s="17"/>
      <c r="CC76" s="17"/>
    </row>
    <row r="77" spans="1:81" ht="12.75" customHeight="1" thickBot="1" x14ac:dyDescent="0.25">
      <c r="A77" s="125"/>
      <c r="B77" s="52"/>
      <c r="C77" s="127"/>
      <c r="D77" s="127"/>
      <c r="E77" s="52"/>
      <c r="F77" s="127"/>
      <c r="G77" s="127"/>
      <c r="H77" s="127"/>
      <c r="I77" s="127"/>
      <c r="J77" s="127"/>
      <c r="K77" s="127"/>
      <c r="L77" s="127"/>
      <c r="M77" s="127"/>
      <c r="N77" s="128"/>
      <c r="O77" s="120"/>
      <c r="P77" s="115"/>
      <c r="Q77" s="115"/>
      <c r="R77" s="116"/>
      <c r="S77" s="58"/>
      <c r="T77" s="60"/>
      <c r="U77" s="60"/>
      <c r="V77" s="60"/>
      <c r="W77" s="60"/>
      <c r="AJ77" s="56"/>
      <c r="AK77" s="56"/>
      <c r="AL77" s="56"/>
      <c r="AN77" s="88"/>
      <c r="AO77" s="86"/>
      <c r="AP77" s="86"/>
      <c r="AQ77" s="86"/>
      <c r="CB77" s="17"/>
      <c r="CC77" s="17"/>
    </row>
    <row r="78" spans="1:81" ht="12.75" customHeight="1" thickBot="1" x14ac:dyDescent="0.25">
      <c r="A78" s="93" t="s">
        <v>592</v>
      </c>
      <c r="B78" s="94"/>
      <c r="C78" s="129"/>
      <c r="D78" s="129"/>
      <c r="E78" s="94"/>
      <c r="F78" s="129"/>
      <c r="G78" s="129"/>
      <c r="H78" s="129"/>
      <c r="I78" s="129"/>
      <c r="J78" s="129"/>
      <c r="K78" s="129"/>
      <c r="L78" s="129"/>
      <c r="M78" s="129"/>
      <c r="N78" s="130"/>
      <c r="O78" s="120"/>
      <c r="P78" s="115"/>
      <c r="Q78" s="115"/>
      <c r="R78" s="116"/>
      <c r="S78" s="58"/>
      <c r="T78" s="60"/>
      <c r="U78" s="60"/>
      <c r="V78" s="60"/>
      <c r="W78" s="60"/>
      <c r="AJ78" s="56"/>
      <c r="AK78" s="56"/>
      <c r="AL78" s="56"/>
      <c r="AN78" s="88"/>
      <c r="AO78" s="86"/>
      <c r="AP78" s="86"/>
      <c r="AQ78" s="86"/>
      <c r="CB78" s="17"/>
      <c r="CC78" s="17"/>
    </row>
    <row r="79" spans="1:81" ht="12.75" customHeight="1" thickBot="1" x14ac:dyDescent="0.25">
      <c r="A79" s="97" t="str">
        <f>"Total : "&amp;SUM(TotalVolailles)</f>
        <v>Total : 0</v>
      </c>
      <c r="B79" s="47"/>
      <c r="C79" s="33" t="s">
        <v>257</v>
      </c>
      <c r="D79" s="78" t="s">
        <v>829</v>
      </c>
      <c r="E79" s="47"/>
      <c r="F79" s="131"/>
      <c r="G79" s="131"/>
      <c r="H79" s="131"/>
      <c r="I79" s="131"/>
      <c r="J79" s="422" t="s">
        <v>255</v>
      </c>
      <c r="K79" s="422"/>
      <c r="L79" s="47"/>
      <c r="M79" s="47"/>
      <c r="N79" s="43"/>
      <c r="O79" s="120"/>
      <c r="P79" s="115"/>
      <c r="Q79" s="115"/>
      <c r="R79" s="116"/>
      <c r="S79" s="58"/>
      <c r="T79" s="60"/>
      <c r="U79" s="60"/>
      <c r="V79" s="60"/>
      <c r="W79" s="60"/>
      <c r="AJ79" s="56"/>
      <c r="AK79" s="56"/>
      <c r="AL79" s="56"/>
      <c r="AN79" s="88"/>
      <c r="AO79" s="86"/>
      <c r="AP79" s="86"/>
      <c r="AQ79" s="86"/>
      <c r="CB79" s="17"/>
      <c r="CC79" s="17"/>
    </row>
    <row r="80" spans="1:81" ht="12.75" customHeight="1" x14ac:dyDescent="0.2">
      <c r="A80" s="97"/>
      <c r="B80" s="26" t="s">
        <v>319</v>
      </c>
      <c r="C80" s="141"/>
      <c r="D80" s="4"/>
      <c r="E80" s="47"/>
      <c r="F80" s="131"/>
      <c r="G80" s="131"/>
      <c r="H80" s="131"/>
      <c r="I80" s="131"/>
      <c r="J80" s="418"/>
      <c r="K80" s="419"/>
      <c r="L80" s="47"/>
      <c r="M80" s="47"/>
      <c r="N80" s="43"/>
      <c r="O80" s="120"/>
      <c r="P80" s="115"/>
      <c r="Q80" s="115"/>
      <c r="R80" s="116"/>
      <c r="S80" s="58"/>
      <c r="T80" s="60"/>
      <c r="U80" s="60"/>
      <c r="V80" s="60"/>
      <c r="W80" s="60"/>
      <c r="AJ80" s="56"/>
      <c r="AK80" s="56"/>
      <c r="AL80" s="56"/>
      <c r="AN80" s="88"/>
      <c r="AO80" s="86"/>
      <c r="AP80" s="86"/>
      <c r="AQ80" s="86"/>
      <c r="CB80" s="17"/>
      <c r="CC80" s="17"/>
    </row>
    <row r="81" spans="1:81" ht="12.75" customHeight="1" thickBot="1" x14ac:dyDescent="0.25">
      <c r="A81" s="97"/>
      <c r="B81" s="29" t="s">
        <v>15</v>
      </c>
      <c r="C81" s="142"/>
      <c r="D81" s="230"/>
      <c r="E81" s="47"/>
      <c r="F81" s="131"/>
      <c r="G81" s="131"/>
      <c r="H81" s="131"/>
      <c r="I81" s="131"/>
      <c r="J81" s="143"/>
      <c r="K81" s="144"/>
      <c r="L81" s="47"/>
      <c r="M81" s="47"/>
      <c r="N81" s="43"/>
      <c r="O81" s="64"/>
      <c r="P81" s="85"/>
      <c r="Q81" s="85"/>
      <c r="R81" s="147"/>
      <c r="S81" s="58"/>
      <c r="T81" s="60"/>
      <c r="U81" s="60"/>
      <c r="V81" s="60"/>
      <c r="W81" s="60"/>
      <c r="AJ81" s="56"/>
      <c r="AK81" s="56"/>
      <c r="AL81" s="56"/>
      <c r="AN81" s="88"/>
      <c r="AO81" s="86"/>
      <c r="AP81" s="86"/>
      <c r="AQ81" s="86"/>
      <c r="CB81" s="17"/>
      <c r="CC81" s="17"/>
    </row>
    <row r="82" spans="1:81" ht="12.75" customHeight="1" x14ac:dyDescent="0.2">
      <c r="A82" s="97"/>
      <c r="B82" s="27" t="s">
        <v>16</v>
      </c>
      <c r="C82" s="80"/>
      <c r="D82" s="4"/>
      <c r="E82" s="47"/>
      <c r="F82" s="131"/>
      <c r="G82" s="131"/>
      <c r="H82" s="131"/>
      <c r="I82" s="131"/>
      <c r="J82" s="422" t="s">
        <v>223</v>
      </c>
      <c r="K82" s="422"/>
      <c r="L82" s="47"/>
      <c r="M82" s="47"/>
      <c r="N82" s="43"/>
      <c r="O82" s="96"/>
      <c r="P82" s="85"/>
      <c r="Q82" s="85"/>
      <c r="R82" s="147"/>
      <c r="AJ82" s="56"/>
      <c r="AK82" s="56"/>
      <c r="AL82" s="56"/>
      <c r="AN82" s="88"/>
      <c r="AO82" s="86"/>
      <c r="AP82" s="86"/>
      <c r="AQ82" s="86"/>
      <c r="CB82" s="17"/>
      <c r="CC82" s="17"/>
    </row>
    <row r="83" spans="1:81" ht="12.75" customHeight="1" thickBot="1" x14ac:dyDescent="0.25">
      <c r="A83" s="97"/>
      <c r="B83" s="14" t="s">
        <v>17</v>
      </c>
      <c r="C83" s="42"/>
      <c r="D83" s="230"/>
      <c r="E83" s="47"/>
      <c r="F83" s="131"/>
      <c r="G83" s="131"/>
      <c r="H83" s="131"/>
      <c r="I83" s="131"/>
      <c r="J83" s="425"/>
      <c r="K83" s="425"/>
      <c r="L83" s="47"/>
      <c r="M83" s="47"/>
      <c r="N83" s="43"/>
      <c r="O83" s="96"/>
      <c r="P83" s="85"/>
      <c r="Q83" s="85"/>
      <c r="R83" s="147"/>
      <c r="AJ83" s="56"/>
      <c r="AK83" s="56"/>
      <c r="AL83" s="56"/>
      <c r="AN83" s="88"/>
      <c r="AO83" s="86"/>
      <c r="AP83" s="86"/>
      <c r="AQ83" s="86"/>
      <c r="CB83" s="17"/>
      <c r="CC83" s="17"/>
    </row>
    <row r="84" spans="1:81" ht="12.75" customHeight="1" x14ac:dyDescent="0.2">
      <c r="A84" s="97"/>
      <c r="B84" s="9" t="s">
        <v>18</v>
      </c>
      <c r="C84" s="41"/>
      <c r="D84" s="4"/>
      <c r="E84" s="47"/>
      <c r="F84" s="131"/>
      <c r="G84" s="131"/>
      <c r="H84" s="131"/>
      <c r="I84" s="131"/>
      <c r="J84" s="143"/>
      <c r="K84" s="144"/>
      <c r="L84" s="47"/>
      <c r="M84" s="47"/>
      <c r="N84" s="43"/>
      <c r="O84" s="150"/>
      <c r="P84" s="151"/>
      <c r="Q84" s="152"/>
      <c r="R84" s="153"/>
      <c r="S84" s="60"/>
      <c r="T84" s="60"/>
      <c r="U84" s="60"/>
      <c r="V84" s="60"/>
      <c r="W84" s="60"/>
      <c r="AJ84" s="56"/>
      <c r="AK84" s="56"/>
      <c r="AL84" s="56"/>
      <c r="AN84" s="88"/>
      <c r="AO84" s="86"/>
      <c r="AP84" s="86"/>
      <c r="AQ84" s="86"/>
      <c r="CB84" s="17"/>
      <c r="CC84" s="17"/>
    </row>
    <row r="85" spans="1:81" ht="12.75" customHeight="1" thickBot="1" x14ac:dyDescent="0.25">
      <c r="A85" s="97"/>
      <c r="B85" s="10" t="s">
        <v>19</v>
      </c>
      <c r="C85" s="42"/>
      <c r="D85" s="230"/>
      <c r="E85" s="47"/>
      <c r="F85" s="131"/>
      <c r="G85" s="131"/>
      <c r="H85" s="131"/>
      <c r="I85" s="131"/>
      <c r="J85" s="420" t="s">
        <v>453</v>
      </c>
      <c r="K85" s="421"/>
      <c r="L85" s="47"/>
      <c r="M85" s="47"/>
      <c r="N85" s="43"/>
      <c r="O85" s="150"/>
      <c r="P85" s="151"/>
      <c r="Q85" s="152"/>
      <c r="R85" s="153"/>
      <c r="S85" s="60"/>
      <c r="T85" s="60"/>
      <c r="U85" s="60"/>
      <c r="V85" s="60"/>
      <c r="W85" s="60"/>
      <c r="AJ85" s="56"/>
      <c r="AK85" s="56"/>
      <c r="AL85" s="56"/>
      <c r="AN85" s="88"/>
      <c r="AO85" s="86"/>
      <c r="AP85" s="86"/>
      <c r="AQ85" s="86"/>
      <c r="CB85" s="17"/>
      <c r="CC85" s="17"/>
    </row>
    <row r="86" spans="1:81" ht="12.75" customHeight="1" x14ac:dyDescent="0.2">
      <c r="A86" s="97"/>
      <c r="B86" s="47"/>
      <c r="C86" s="131"/>
      <c r="D86" s="131"/>
      <c r="E86" s="47"/>
      <c r="F86" s="131"/>
      <c r="G86" s="131"/>
      <c r="H86" s="131"/>
      <c r="I86" s="131"/>
      <c r="J86" s="418"/>
      <c r="K86" s="419"/>
      <c r="L86" s="47"/>
      <c r="M86" s="47"/>
      <c r="N86" s="43"/>
      <c r="O86" s="150"/>
      <c r="P86" s="151"/>
      <c r="Q86" s="152"/>
      <c r="R86" s="153"/>
      <c r="S86" s="60"/>
      <c r="T86" s="60"/>
      <c r="U86" s="60"/>
      <c r="V86" s="60"/>
      <c r="W86" s="60"/>
      <c r="AJ86" s="56"/>
      <c r="AK86" s="56"/>
      <c r="AM86" s="88"/>
      <c r="AO86" s="86"/>
      <c r="AP86" s="86"/>
      <c r="CB86" s="17"/>
      <c r="CC86" s="17"/>
    </row>
    <row r="87" spans="1:81" ht="12.75" customHeight="1" x14ac:dyDescent="0.2">
      <c r="A87" s="97"/>
      <c r="B87" s="47"/>
      <c r="C87" s="131"/>
      <c r="D87" s="131"/>
      <c r="E87" s="47"/>
      <c r="F87" s="131"/>
      <c r="G87" s="131"/>
      <c r="H87" s="131"/>
      <c r="I87" s="131"/>
      <c r="J87" s="103"/>
      <c r="K87" s="47"/>
      <c r="L87" s="47"/>
      <c r="M87" s="131"/>
      <c r="N87" s="132"/>
      <c r="O87" s="154"/>
      <c r="P87" s="151"/>
      <c r="Q87" s="152"/>
      <c r="R87" s="153"/>
      <c r="S87" s="60"/>
      <c r="T87" s="60"/>
      <c r="U87" s="60"/>
      <c r="V87" s="60"/>
      <c r="W87" s="60"/>
      <c r="Z87" s="58"/>
      <c r="AA87" s="58"/>
      <c r="AB87" s="58"/>
      <c r="AJ87" s="56"/>
      <c r="AK87" s="56"/>
      <c r="AM87" s="88"/>
      <c r="AO87" s="86"/>
      <c r="AP87" s="86"/>
      <c r="CB87" s="17"/>
      <c r="CC87" s="17"/>
    </row>
    <row r="88" spans="1:81" ht="12.75" customHeight="1" x14ac:dyDescent="0.2">
      <c r="A88" s="97"/>
      <c r="B88" s="47"/>
      <c r="C88" s="131"/>
      <c r="D88" s="131"/>
      <c r="E88" s="47"/>
      <c r="F88" s="131"/>
      <c r="G88" s="131"/>
      <c r="H88" s="131"/>
      <c r="I88" s="131"/>
      <c r="J88" s="420" t="s">
        <v>873</v>
      </c>
      <c r="K88" s="421"/>
      <c r="L88" s="47"/>
      <c r="M88" s="47"/>
      <c r="N88" s="43"/>
      <c r="O88" s="154"/>
      <c r="P88" s="151"/>
      <c r="Q88" s="152"/>
      <c r="R88" s="153"/>
      <c r="S88" s="60"/>
      <c r="T88" s="60"/>
      <c r="U88" s="60"/>
      <c r="V88" s="60"/>
      <c r="W88" s="60"/>
      <c r="Z88" s="58"/>
      <c r="AA88" s="58"/>
      <c r="AB88" s="58"/>
      <c r="AJ88" s="56"/>
      <c r="AK88" s="56"/>
      <c r="AM88" s="88"/>
      <c r="AO88" s="86"/>
      <c r="AP88" s="86"/>
      <c r="CB88" s="17"/>
      <c r="CC88" s="17"/>
    </row>
    <row r="89" spans="1:81" ht="12.75" customHeight="1" x14ac:dyDescent="0.2">
      <c r="A89" s="97"/>
      <c r="B89" s="47"/>
      <c r="C89" s="131"/>
      <c r="D89" s="131"/>
      <c r="E89" s="47"/>
      <c r="F89" s="131"/>
      <c r="G89" s="131"/>
      <c r="H89" s="131"/>
      <c r="I89" s="131"/>
      <c r="J89" s="418"/>
      <c r="K89" s="419"/>
      <c r="L89" s="47"/>
      <c r="M89" s="47"/>
      <c r="N89" s="43"/>
      <c r="O89" s="154"/>
      <c r="P89" s="151"/>
      <c r="Q89" s="152"/>
      <c r="R89" s="153"/>
      <c r="S89" s="60"/>
      <c r="T89" s="60"/>
      <c r="U89" s="60"/>
      <c r="V89" s="60"/>
      <c r="W89" s="60"/>
      <c r="Z89" s="58"/>
      <c r="AA89" s="58"/>
      <c r="AB89" s="58"/>
      <c r="AJ89" s="56"/>
      <c r="AK89" s="56"/>
      <c r="AM89" s="88"/>
      <c r="AO89" s="86"/>
      <c r="AP89" s="86"/>
      <c r="CB89" s="17"/>
      <c r="CC89" s="17"/>
    </row>
    <row r="90" spans="1:81" ht="12.75" customHeight="1" x14ac:dyDescent="0.2">
      <c r="A90" s="97"/>
      <c r="B90" s="47"/>
      <c r="C90" s="131"/>
      <c r="D90" s="131"/>
      <c r="E90" s="47"/>
      <c r="F90" s="131"/>
      <c r="G90" s="131"/>
      <c r="H90" s="131"/>
      <c r="I90" s="131"/>
      <c r="J90" s="103"/>
      <c r="K90" s="47"/>
      <c r="L90" s="131"/>
      <c r="M90" s="47"/>
      <c r="N90" s="43"/>
      <c r="O90" s="154"/>
      <c r="P90" s="151"/>
      <c r="Q90" s="152"/>
      <c r="R90" s="153"/>
      <c r="S90" s="60"/>
      <c r="T90" s="60"/>
      <c r="U90" s="60"/>
      <c r="V90" s="60"/>
      <c r="W90" s="60"/>
      <c r="Z90" s="58"/>
      <c r="AA90" s="58"/>
      <c r="AB90" s="58"/>
      <c r="AJ90" s="56"/>
      <c r="AK90" s="56"/>
      <c r="AM90" s="88"/>
      <c r="AO90" s="86"/>
      <c r="AP90" s="86"/>
      <c r="CB90" s="17"/>
      <c r="CC90" s="17"/>
    </row>
    <row r="91" spans="1:81" ht="12.75" customHeight="1" x14ac:dyDescent="0.2">
      <c r="A91" s="97"/>
      <c r="B91" s="47"/>
      <c r="C91" s="131"/>
      <c r="D91" s="131"/>
      <c r="E91" s="47"/>
      <c r="F91" s="131"/>
      <c r="G91" s="131"/>
      <c r="H91" s="131"/>
      <c r="I91" s="131"/>
      <c r="J91" s="426" t="s">
        <v>256</v>
      </c>
      <c r="K91" s="427"/>
      <c r="L91" s="47"/>
      <c r="M91" s="47"/>
      <c r="N91" s="43"/>
      <c r="O91" s="154"/>
      <c r="P91" s="151"/>
      <c r="Q91" s="152"/>
      <c r="R91" s="153"/>
      <c r="S91" s="60"/>
      <c r="T91" s="60"/>
      <c r="U91" s="60"/>
      <c r="V91" s="60"/>
      <c r="W91" s="60"/>
      <c r="Z91" s="58"/>
      <c r="AA91" s="58"/>
      <c r="AB91" s="58"/>
      <c r="AJ91" s="56"/>
      <c r="AK91" s="56"/>
      <c r="AM91" s="88"/>
      <c r="AO91" s="86"/>
      <c r="AP91" s="86"/>
      <c r="CB91" s="17"/>
      <c r="CC91" s="17"/>
    </row>
    <row r="92" spans="1:81" ht="12.75" customHeight="1" x14ac:dyDescent="0.2">
      <c r="A92" s="97"/>
      <c r="B92" s="47"/>
      <c r="C92" s="131"/>
      <c r="D92" s="131"/>
      <c r="E92" s="47"/>
      <c r="F92" s="131"/>
      <c r="G92" s="131"/>
      <c r="H92" s="131"/>
      <c r="I92" s="131"/>
      <c r="J92" s="418"/>
      <c r="K92" s="419"/>
      <c r="L92" s="47"/>
      <c r="M92" s="47"/>
      <c r="N92" s="43"/>
      <c r="O92" s="154"/>
      <c r="P92" s="151"/>
      <c r="Q92" s="152"/>
      <c r="R92" s="153"/>
      <c r="S92" s="60"/>
      <c r="T92" s="60"/>
      <c r="U92" s="60"/>
      <c r="V92" s="60"/>
      <c r="W92" s="60"/>
      <c r="Z92" s="58"/>
      <c r="AA92" s="58"/>
      <c r="AB92" s="58"/>
      <c r="AJ92" s="56"/>
      <c r="AK92" s="56"/>
      <c r="AM92" s="88"/>
      <c r="AO92" s="86"/>
      <c r="AP92" s="86"/>
      <c r="CB92" s="17"/>
      <c r="CC92" s="17"/>
    </row>
    <row r="93" spans="1:81" ht="12.75" customHeight="1" x14ac:dyDescent="0.2">
      <c r="A93" s="97"/>
      <c r="B93" s="47"/>
      <c r="C93" s="131"/>
      <c r="D93" s="131"/>
      <c r="E93" s="47"/>
      <c r="F93" s="131"/>
      <c r="G93" s="131"/>
      <c r="H93" s="131"/>
      <c r="I93" s="131"/>
      <c r="J93" s="131"/>
      <c r="K93" s="131"/>
      <c r="L93" s="47"/>
      <c r="M93" s="47"/>
      <c r="N93" s="43"/>
      <c r="O93" s="154"/>
      <c r="P93" s="151"/>
      <c r="Q93" s="152"/>
      <c r="R93" s="153"/>
      <c r="S93" s="60"/>
      <c r="T93" s="60"/>
      <c r="U93" s="60"/>
      <c r="V93" s="60"/>
      <c r="W93" s="60"/>
      <c r="Z93" s="58"/>
      <c r="AA93" s="58"/>
      <c r="AB93" s="58"/>
      <c r="AJ93" s="56"/>
      <c r="AK93" s="56"/>
      <c r="AM93" s="88"/>
      <c r="AO93" s="86"/>
      <c r="AP93" s="86"/>
      <c r="CB93" s="17"/>
      <c r="CC93" s="17"/>
    </row>
    <row r="94" spans="1:81" ht="12.75" customHeight="1" x14ac:dyDescent="0.2">
      <c r="A94" s="97"/>
      <c r="B94" s="47"/>
      <c r="C94" s="131"/>
      <c r="D94" s="131"/>
      <c r="E94" s="47"/>
      <c r="F94" s="131"/>
      <c r="G94" s="131"/>
      <c r="H94" s="131"/>
      <c r="I94" s="131"/>
      <c r="J94" s="18" t="s">
        <v>89</v>
      </c>
      <c r="K94" s="106"/>
      <c r="L94" s="47" t="str">
        <f>IF(OR(ChoixPaillageVolailles="",ChoixPaillageVolailles=NON),"","coût : "&amp;PrixPaille*84*SUM(TotalVolailles)/1000&amp;"€/an")</f>
        <v/>
      </c>
      <c r="M94" s="47"/>
      <c r="N94" s="43"/>
      <c r="O94" s="155"/>
      <c r="P94" s="151"/>
      <c r="Q94" s="152"/>
      <c r="R94" s="153"/>
      <c r="S94" s="60"/>
      <c r="T94" s="60"/>
      <c r="U94" s="60"/>
      <c r="V94" s="60"/>
      <c r="W94" s="60"/>
      <c r="Z94" s="58"/>
      <c r="AA94" s="58"/>
      <c r="AB94" s="58"/>
      <c r="AJ94" s="56"/>
      <c r="AK94" s="56"/>
      <c r="AM94" s="88"/>
      <c r="AO94" s="86"/>
      <c r="AP94" s="86"/>
      <c r="CB94" s="17"/>
      <c r="CC94" s="17"/>
    </row>
    <row r="95" spans="1:81" ht="12.75" customHeight="1" x14ac:dyDescent="0.2">
      <c r="A95" s="97"/>
      <c r="B95" s="47"/>
      <c r="C95" s="131"/>
      <c r="D95" s="131"/>
      <c r="E95" s="47"/>
      <c r="F95" s="131"/>
      <c r="G95" s="131"/>
      <c r="H95" s="131"/>
      <c r="I95" s="131"/>
      <c r="J95" s="19" t="s">
        <v>88</v>
      </c>
      <c r="K95" s="106"/>
      <c r="L95" s="47" t="str">
        <f>IF(ChoixVaccinVolailles=OUI,"coût : " &amp;SUM(TotalVolailles)*PrixVaccinVolaille &amp;"€/an","")</f>
        <v/>
      </c>
      <c r="M95" s="47"/>
      <c r="N95" s="43"/>
      <c r="O95" s="150"/>
      <c r="P95" s="151"/>
      <c r="Q95" s="152"/>
      <c r="R95" s="153"/>
      <c r="S95" s="60"/>
      <c r="T95" s="60"/>
      <c r="U95" s="60"/>
      <c r="V95" s="60"/>
      <c r="W95" s="60"/>
      <c r="Z95" s="58"/>
      <c r="AA95" s="58"/>
      <c r="AB95" s="58"/>
      <c r="AJ95" s="56"/>
      <c r="AK95" s="56"/>
      <c r="AM95" s="88"/>
      <c r="AO95" s="86"/>
      <c r="AP95" s="86"/>
      <c r="CB95" s="17"/>
      <c r="CC95" s="17"/>
    </row>
    <row r="96" spans="1:81" ht="12.75" customHeight="1" thickBot="1" x14ac:dyDescent="0.25">
      <c r="A96" s="107"/>
      <c r="B96" s="109"/>
      <c r="C96" s="136"/>
      <c r="D96" s="136"/>
      <c r="E96" s="109"/>
      <c r="F96" s="136"/>
      <c r="G96" s="136"/>
      <c r="H96" s="136"/>
      <c r="I96" s="136"/>
      <c r="J96" s="136"/>
      <c r="K96" s="136"/>
      <c r="L96" s="136"/>
      <c r="M96" s="136"/>
      <c r="N96" s="137"/>
      <c r="O96" s="150"/>
      <c r="P96" s="152"/>
      <c r="Q96" s="152"/>
      <c r="R96" s="153"/>
      <c r="S96" s="60"/>
      <c r="T96" s="60"/>
      <c r="U96" s="60"/>
      <c r="V96" s="60"/>
      <c r="W96" s="60"/>
      <c r="Z96" s="58"/>
      <c r="AA96" s="58"/>
      <c r="AB96" s="58"/>
      <c r="AJ96" s="56"/>
      <c r="AK96" s="56"/>
      <c r="AM96" s="88"/>
      <c r="AO96" s="86"/>
      <c r="AP96" s="86"/>
      <c r="CB96" s="17"/>
      <c r="CC96" s="17"/>
    </row>
    <row r="97" spans="1:81" ht="12.75" customHeight="1" thickBot="1" x14ac:dyDescent="0.25">
      <c r="A97" s="111" t="s">
        <v>246</v>
      </c>
      <c r="B97" s="112"/>
      <c r="C97" s="113"/>
      <c r="D97" s="113"/>
      <c r="E97" s="112"/>
      <c r="F97" s="113"/>
      <c r="G97" s="113"/>
      <c r="H97" s="113"/>
      <c r="I97" s="113"/>
      <c r="J97" s="113"/>
      <c r="K97" s="113"/>
      <c r="L97" s="113"/>
      <c r="M97" s="113"/>
      <c r="N97" s="114"/>
      <c r="O97" s="150"/>
      <c r="P97" s="152"/>
      <c r="Q97" s="152"/>
      <c r="R97" s="153"/>
      <c r="S97" s="60"/>
      <c r="T97" s="60"/>
      <c r="U97" s="60"/>
      <c r="V97" s="60"/>
      <c r="W97" s="60"/>
      <c r="Z97" s="58"/>
      <c r="AA97" s="58"/>
      <c r="AB97" s="58"/>
      <c r="AJ97" s="56"/>
      <c r="AK97" s="56"/>
      <c r="AM97" s="88"/>
      <c r="AO97" s="86"/>
      <c r="AP97" s="86"/>
      <c r="CB97" s="17"/>
      <c r="CC97" s="17"/>
    </row>
    <row r="98" spans="1:81" ht="12.75" customHeight="1" thickBot="1" x14ac:dyDescent="0.25">
      <c r="A98" s="117" t="str">
        <f>"Total : "&amp;SUM(TotalPintades)</f>
        <v>Total : 0</v>
      </c>
      <c r="B98" s="51"/>
      <c r="C98" s="33" t="s">
        <v>257</v>
      </c>
      <c r="D98" s="78" t="s">
        <v>829</v>
      </c>
      <c r="E98" s="51"/>
      <c r="F98" s="145"/>
      <c r="G98" s="146"/>
      <c r="H98" s="146"/>
      <c r="I98" s="118"/>
      <c r="J98" s="422" t="s">
        <v>255</v>
      </c>
      <c r="K98" s="422"/>
      <c r="L98" s="51"/>
      <c r="M98" s="51"/>
      <c r="N98" s="44"/>
      <c r="O98" s="150"/>
      <c r="P98" s="152"/>
      <c r="Q98" s="152"/>
      <c r="R98" s="153"/>
      <c r="S98" s="60"/>
      <c r="T98" s="60"/>
      <c r="U98" s="60"/>
      <c r="V98" s="60"/>
      <c r="W98" s="60"/>
      <c r="Z98" s="58"/>
      <c r="AA98" s="58"/>
      <c r="AB98" s="58"/>
      <c r="AJ98" s="56"/>
      <c r="AK98" s="56"/>
      <c r="AM98" s="88"/>
      <c r="AO98" s="86"/>
      <c r="AP98" s="86"/>
      <c r="CB98" s="17"/>
      <c r="CC98" s="17"/>
    </row>
    <row r="99" spans="1:81" ht="12.75" customHeight="1" x14ac:dyDescent="0.2">
      <c r="A99" s="117"/>
      <c r="B99" s="26" t="s">
        <v>240</v>
      </c>
      <c r="C99" s="121"/>
      <c r="D99" s="4"/>
      <c r="E99" s="51"/>
      <c r="F99" s="51"/>
      <c r="G99" s="51"/>
      <c r="H99" s="51"/>
      <c r="I99" s="51"/>
      <c r="J99" s="418"/>
      <c r="K99" s="419"/>
      <c r="L99" s="51"/>
      <c r="M99" s="51"/>
      <c r="N99" s="44"/>
      <c r="O99" s="150"/>
      <c r="P99" s="85"/>
      <c r="Q99" s="85"/>
      <c r="R99" s="147"/>
      <c r="S99" s="60"/>
      <c r="T99" s="60"/>
      <c r="U99" s="60"/>
      <c r="V99" s="60"/>
      <c r="W99" s="60"/>
      <c r="Z99" s="58"/>
      <c r="AA99" s="58"/>
      <c r="AB99" s="58"/>
      <c r="AJ99" s="56"/>
      <c r="AK99" s="56"/>
      <c r="AM99" s="88"/>
      <c r="AO99" s="86"/>
      <c r="AP99" s="86"/>
      <c r="CB99" s="17"/>
      <c r="CC99" s="17"/>
    </row>
    <row r="100" spans="1:81" ht="12.75" customHeight="1" thickBot="1" x14ac:dyDescent="0.25">
      <c r="A100" s="117"/>
      <c r="B100" s="29" t="s">
        <v>158</v>
      </c>
      <c r="C100" s="122"/>
      <c r="D100" s="230"/>
      <c r="E100" s="51"/>
      <c r="F100" s="51"/>
      <c r="G100" s="51"/>
      <c r="H100" s="51"/>
      <c r="I100" s="51"/>
      <c r="J100" s="148"/>
      <c r="K100" s="149"/>
      <c r="L100" s="51"/>
      <c r="M100" s="51"/>
      <c r="N100" s="44"/>
      <c r="O100" s="64"/>
      <c r="P100" s="62"/>
      <c r="Q100" s="62"/>
      <c r="R100" s="63"/>
      <c r="S100" s="60"/>
      <c r="T100" s="60"/>
      <c r="U100" s="60"/>
      <c r="V100" s="60"/>
      <c r="W100" s="60"/>
      <c r="Z100" s="58"/>
      <c r="AA100" s="58"/>
      <c r="AB100" s="58"/>
      <c r="AJ100" s="56"/>
      <c r="AK100" s="56"/>
      <c r="AM100" s="88"/>
      <c r="AO100" s="86"/>
      <c r="AP100" s="86"/>
      <c r="CB100" s="17"/>
      <c r="CC100" s="17"/>
    </row>
    <row r="101" spans="1:81" ht="12.75" customHeight="1" x14ac:dyDescent="0.2">
      <c r="A101" s="117"/>
      <c r="B101" s="27" t="s">
        <v>241</v>
      </c>
      <c r="C101" s="123"/>
      <c r="D101" s="4"/>
      <c r="E101" s="51"/>
      <c r="F101" s="51"/>
      <c r="G101" s="51"/>
      <c r="H101" s="51"/>
      <c r="I101" s="51"/>
      <c r="J101" s="422" t="s">
        <v>223</v>
      </c>
      <c r="K101" s="422"/>
      <c r="L101" s="51"/>
      <c r="M101" s="51"/>
      <c r="N101" s="44"/>
      <c r="O101" s="57"/>
      <c r="P101" s="62"/>
      <c r="Q101" s="62"/>
      <c r="R101" s="63"/>
      <c r="S101" s="60"/>
      <c r="T101" s="60"/>
      <c r="U101" s="60"/>
      <c r="V101" s="60"/>
      <c r="W101" s="60"/>
      <c r="Z101" s="58"/>
      <c r="AA101" s="58"/>
      <c r="AB101" s="58"/>
      <c r="AJ101" s="56"/>
      <c r="AK101" s="56"/>
      <c r="AM101" s="88"/>
      <c r="AO101" s="86"/>
      <c r="AP101" s="86"/>
      <c r="CB101" s="17"/>
      <c r="CC101" s="17"/>
    </row>
    <row r="102" spans="1:81" ht="12.75" customHeight="1" thickBot="1" x14ac:dyDescent="0.25">
      <c r="A102" s="117"/>
      <c r="B102" s="14" t="s">
        <v>156</v>
      </c>
      <c r="C102" s="5"/>
      <c r="D102" s="230"/>
      <c r="E102" s="51"/>
      <c r="F102" s="51"/>
      <c r="G102" s="51"/>
      <c r="H102" s="51"/>
      <c r="I102" s="51"/>
      <c r="J102" s="425"/>
      <c r="K102" s="425"/>
      <c r="L102" s="51"/>
      <c r="M102" s="51"/>
      <c r="N102" s="44"/>
      <c r="O102" s="64"/>
      <c r="P102" s="62"/>
      <c r="Q102" s="62"/>
      <c r="R102" s="63"/>
      <c r="S102" s="60"/>
      <c r="T102" s="60"/>
      <c r="U102" s="60"/>
      <c r="V102" s="60"/>
      <c r="W102" s="60"/>
      <c r="Z102" s="58"/>
      <c r="AA102" s="58"/>
      <c r="AB102" s="58"/>
      <c r="AJ102" s="56"/>
      <c r="AK102" s="56"/>
      <c r="AM102" s="88"/>
      <c r="AO102" s="86"/>
      <c r="AP102" s="86"/>
      <c r="CB102" s="17"/>
      <c r="CC102" s="17"/>
    </row>
    <row r="103" spans="1:81" ht="12.75" customHeight="1" x14ac:dyDescent="0.2">
      <c r="A103" s="117"/>
      <c r="B103" s="9" t="s">
        <v>242</v>
      </c>
      <c r="C103" s="4"/>
      <c r="D103" s="4"/>
      <c r="E103" s="51"/>
      <c r="F103" s="51"/>
      <c r="G103" s="51"/>
      <c r="H103" s="51"/>
      <c r="I103" s="51"/>
      <c r="J103" s="148"/>
      <c r="K103" s="149"/>
      <c r="L103" s="51"/>
      <c r="M103" s="51"/>
      <c r="N103" s="44"/>
      <c r="O103" s="64"/>
      <c r="P103" s="62"/>
      <c r="Q103" s="62"/>
      <c r="R103" s="63"/>
      <c r="S103" s="60"/>
      <c r="T103" s="60"/>
      <c r="U103" s="60"/>
      <c r="V103" s="60"/>
      <c r="W103" s="60"/>
      <c r="Z103" s="58"/>
      <c r="AA103" s="58"/>
      <c r="AB103" s="58"/>
      <c r="AJ103" s="56"/>
      <c r="AK103" s="56"/>
      <c r="AM103" s="88"/>
      <c r="AO103" s="86"/>
      <c r="AP103" s="86"/>
      <c r="CB103" s="17"/>
      <c r="CC103" s="17"/>
    </row>
    <row r="104" spans="1:81" ht="12.75" customHeight="1" thickBot="1" x14ac:dyDescent="0.25">
      <c r="A104" s="117"/>
      <c r="B104" s="10" t="s">
        <v>157</v>
      </c>
      <c r="C104" s="5"/>
      <c r="D104" s="230"/>
      <c r="E104" s="51"/>
      <c r="F104" s="51"/>
      <c r="G104" s="51"/>
      <c r="H104" s="51"/>
      <c r="I104" s="51"/>
      <c r="J104" s="420" t="s">
        <v>453</v>
      </c>
      <c r="K104" s="421"/>
      <c r="L104" s="51"/>
      <c r="M104" s="51"/>
      <c r="N104" s="44"/>
      <c r="O104" s="8"/>
      <c r="P104" s="62"/>
      <c r="Q104" s="62"/>
      <c r="R104" s="63"/>
      <c r="S104" s="58"/>
      <c r="T104" s="60"/>
      <c r="U104" s="60"/>
      <c r="V104" s="60"/>
      <c r="W104" s="60"/>
      <c r="Z104" s="58"/>
      <c r="AA104" s="58"/>
      <c r="AB104" s="58"/>
      <c r="AJ104" s="56"/>
      <c r="AK104" s="56"/>
      <c r="AM104" s="88"/>
      <c r="AO104" s="86"/>
      <c r="AP104" s="86"/>
      <c r="CB104" s="17"/>
      <c r="CC104" s="17"/>
    </row>
    <row r="105" spans="1:81" ht="12.75" customHeight="1" x14ac:dyDescent="0.2">
      <c r="A105" s="117"/>
      <c r="B105" s="51"/>
      <c r="C105" s="51"/>
      <c r="D105" s="51"/>
      <c r="E105" s="51"/>
      <c r="F105" s="51"/>
      <c r="G105" s="51"/>
      <c r="H105" s="51"/>
      <c r="I105" s="51"/>
      <c r="J105" s="418"/>
      <c r="K105" s="419"/>
      <c r="L105" s="51"/>
      <c r="M105" s="51"/>
      <c r="N105" s="44"/>
      <c r="O105" s="8"/>
      <c r="P105" s="62"/>
      <c r="Q105" s="62"/>
      <c r="R105" s="63"/>
      <c r="S105" s="58"/>
      <c r="T105" s="58"/>
      <c r="U105" s="58"/>
      <c r="V105" s="58"/>
      <c r="W105" s="60"/>
      <c r="Z105" s="58"/>
      <c r="AA105" s="58"/>
      <c r="AB105" s="58"/>
      <c r="AJ105" s="56"/>
      <c r="AK105" s="56"/>
      <c r="AM105" s="88"/>
      <c r="AO105" s="86"/>
      <c r="AP105" s="86"/>
      <c r="CB105" s="17"/>
      <c r="CC105" s="17"/>
    </row>
    <row r="106" spans="1:81" ht="12.75" customHeight="1" x14ac:dyDescent="0.2">
      <c r="A106" s="117"/>
      <c r="B106" s="51"/>
      <c r="C106" s="51"/>
      <c r="D106" s="51"/>
      <c r="E106" s="51"/>
      <c r="F106" s="51"/>
      <c r="G106" s="51"/>
      <c r="H106" s="51"/>
      <c r="I106" s="51"/>
      <c r="J106" s="124"/>
      <c r="K106" s="51"/>
      <c r="L106" s="51"/>
      <c r="M106" s="118"/>
      <c r="N106" s="119"/>
      <c r="O106" s="8"/>
      <c r="P106" s="62"/>
      <c r="Q106" s="62"/>
      <c r="R106" s="63"/>
      <c r="Z106" s="58"/>
      <c r="AA106" s="58"/>
      <c r="AB106" s="58"/>
      <c r="AJ106" s="56"/>
      <c r="AK106" s="56"/>
      <c r="AM106" s="88"/>
      <c r="AO106" s="86"/>
      <c r="AP106" s="86"/>
      <c r="CB106" s="17"/>
      <c r="CC106" s="17"/>
    </row>
    <row r="107" spans="1:81" ht="12.75" customHeight="1" x14ac:dyDescent="0.2">
      <c r="A107" s="117"/>
      <c r="B107" s="51"/>
      <c r="C107" s="51"/>
      <c r="D107" s="51"/>
      <c r="E107" s="51"/>
      <c r="F107" s="51"/>
      <c r="G107" s="51"/>
      <c r="H107" s="51"/>
      <c r="I107" s="51"/>
      <c r="J107" s="420" t="s">
        <v>873</v>
      </c>
      <c r="K107" s="421"/>
      <c r="L107" s="51"/>
      <c r="M107" s="51"/>
      <c r="N107" s="44"/>
      <c r="O107" s="8"/>
      <c r="P107" s="62"/>
      <c r="Q107" s="62"/>
      <c r="R107" s="63"/>
      <c r="S107" s="60"/>
      <c r="Z107" s="58"/>
      <c r="AA107" s="58"/>
      <c r="AB107" s="58"/>
      <c r="AJ107" s="56"/>
      <c r="AK107" s="56"/>
      <c r="AM107" s="88"/>
      <c r="AO107" s="86"/>
      <c r="AP107" s="86"/>
      <c r="CB107" s="17"/>
      <c r="CC107" s="17"/>
    </row>
    <row r="108" spans="1:81" ht="12.75" customHeight="1" x14ac:dyDescent="0.2">
      <c r="A108" s="117"/>
      <c r="B108" s="51"/>
      <c r="C108" s="51"/>
      <c r="D108" s="51"/>
      <c r="E108" s="51"/>
      <c r="F108" s="51"/>
      <c r="G108" s="51"/>
      <c r="H108" s="51"/>
      <c r="I108" s="51"/>
      <c r="J108" s="418"/>
      <c r="K108" s="419"/>
      <c r="L108" s="51"/>
      <c r="M108" s="51"/>
      <c r="N108" s="44"/>
      <c r="O108" s="8"/>
      <c r="P108" s="62"/>
      <c r="Q108" s="62"/>
      <c r="R108" s="63"/>
      <c r="S108" s="60"/>
      <c r="Z108" s="58"/>
      <c r="AA108" s="58"/>
      <c r="AB108" s="58"/>
      <c r="AJ108" s="56"/>
      <c r="AK108" s="56"/>
      <c r="AM108" s="88"/>
      <c r="AO108" s="86"/>
      <c r="AP108" s="86"/>
      <c r="CB108" s="17"/>
      <c r="CC108" s="17"/>
    </row>
    <row r="109" spans="1:81" ht="12.75" customHeight="1" x14ac:dyDescent="0.2">
      <c r="A109" s="117"/>
      <c r="B109" s="51"/>
      <c r="C109" s="51"/>
      <c r="D109" s="51"/>
      <c r="E109" s="51"/>
      <c r="F109" s="51"/>
      <c r="G109" s="51"/>
      <c r="H109" s="51"/>
      <c r="I109" s="51"/>
      <c r="J109" s="51"/>
      <c r="K109" s="51"/>
      <c r="L109" s="118"/>
      <c r="M109" s="51"/>
      <c r="N109" s="44"/>
      <c r="O109" s="8"/>
      <c r="P109" s="62"/>
      <c r="Q109" s="62"/>
      <c r="R109" s="63"/>
      <c r="S109" s="60"/>
      <c r="Z109" s="58"/>
      <c r="AA109" s="58"/>
      <c r="AB109" s="58"/>
      <c r="AJ109" s="56"/>
      <c r="AK109" s="56"/>
      <c r="AM109" s="88"/>
      <c r="AO109" s="86"/>
      <c r="AP109" s="86"/>
      <c r="CB109" s="17"/>
      <c r="CC109" s="17"/>
    </row>
    <row r="110" spans="1:81" ht="12.75" customHeight="1" x14ac:dyDescent="0.2">
      <c r="A110" s="117"/>
      <c r="B110" s="51"/>
      <c r="C110" s="51"/>
      <c r="D110" s="51"/>
      <c r="E110" s="51"/>
      <c r="F110" s="51"/>
      <c r="G110" s="51"/>
      <c r="H110" s="51"/>
      <c r="I110" s="51"/>
      <c r="J110" s="426" t="s">
        <v>256</v>
      </c>
      <c r="K110" s="427"/>
      <c r="L110" s="51"/>
      <c r="M110" s="51"/>
      <c r="N110" s="44"/>
      <c r="O110" s="8"/>
      <c r="P110" s="62"/>
      <c r="Q110" s="62"/>
      <c r="R110" s="63"/>
      <c r="S110" s="60"/>
      <c r="Z110" s="58"/>
      <c r="AA110" s="58"/>
      <c r="AB110" s="58"/>
      <c r="AJ110" s="56"/>
      <c r="AK110" s="56"/>
      <c r="AM110" s="88"/>
      <c r="AO110" s="86"/>
      <c r="AP110" s="86"/>
      <c r="CB110" s="17"/>
      <c r="CC110" s="17"/>
    </row>
    <row r="111" spans="1:81" ht="12.75" customHeight="1" x14ac:dyDescent="0.2">
      <c r="A111" s="117"/>
      <c r="B111" s="51"/>
      <c r="C111" s="51"/>
      <c r="D111" s="51"/>
      <c r="E111" s="51"/>
      <c r="F111" s="51"/>
      <c r="G111" s="51"/>
      <c r="H111" s="51"/>
      <c r="I111" s="51"/>
      <c r="J111" s="418"/>
      <c r="K111" s="419"/>
      <c r="L111" s="51"/>
      <c r="M111" s="51"/>
      <c r="N111" s="44"/>
      <c r="O111" s="8"/>
      <c r="P111" s="62"/>
      <c r="Q111" s="62"/>
      <c r="R111" s="63"/>
      <c r="S111" s="60"/>
      <c r="Z111" s="58"/>
      <c r="AA111" s="58"/>
      <c r="AB111" s="58"/>
      <c r="AJ111" s="56"/>
      <c r="AK111" s="56"/>
      <c r="AM111" s="88"/>
      <c r="AO111" s="86"/>
      <c r="AP111" s="86"/>
      <c r="CB111" s="17"/>
      <c r="CC111" s="17"/>
    </row>
    <row r="112" spans="1:81" ht="12.75" customHeight="1" x14ac:dyDescent="0.2">
      <c r="A112" s="117"/>
      <c r="B112" s="51"/>
      <c r="C112" s="51"/>
      <c r="D112" s="51"/>
      <c r="E112" s="51"/>
      <c r="F112" s="51"/>
      <c r="G112" s="51"/>
      <c r="H112" s="51"/>
      <c r="I112" s="51"/>
      <c r="J112" s="118"/>
      <c r="K112" s="118"/>
      <c r="L112" s="51"/>
      <c r="M112" s="51"/>
      <c r="N112" s="44"/>
      <c r="O112" s="8"/>
      <c r="P112" s="62"/>
      <c r="Q112" s="62"/>
      <c r="R112" s="63"/>
      <c r="S112" s="60"/>
      <c r="Z112" s="58"/>
      <c r="AA112" s="58"/>
      <c r="AB112" s="58"/>
      <c r="AJ112" s="56"/>
      <c r="AK112" s="56"/>
      <c r="AM112" s="88"/>
      <c r="AO112" s="86"/>
      <c r="AP112" s="86"/>
      <c r="CB112" s="17"/>
      <c r="CC112" s="17"/>
    </row>
    <row r="113" spans="1:81" ht="12.75" customHeight="1" x14ac:dyDescent="0.2">
      <c r="A113" s="117"/>
      <c r="B113" s="51"/>
      <c r="C113" s="51"/>
      <c r="D113" s="51"/>
      <c r="E113" s="51"/>
      <c r="F113" s="51"/>
      <c r="G113" s="51"/>
      <c r="H113" s="51"/>
      <c r="I113" s="51"/>
      <c r="J113" s="18" t="s">
        <v>89</v>
      </c>
      <c r="K113" s="106"/>
      <c r="L113" s="51" t="str">
        <f>IF(OR(ChoixPaillagePintades="",ChoixPaillagePintades=NON),"","coût : "&amp;PrixPaille*84*SUM(TotalPintades)/1000&amp;"€/an")</f>
        <v/>
      </c>
      <c r="M113" s="51"/>
      <c r="N113" s="44"/>
      <c r="O113" s="8"/>
      <c r="P113" s="62"/>
      <c r="Q113" s="62"/>
      <c r="R113" s="63"/>
      <c r="S113" s="60"/>
      <c r="Z113" s="58"/>
      <c r="AA113" s="58"/>
      <c r="AB113" s="58"/>
      <c r="AJ113" s="56"/>
      <c r="AK113" s="56"/>
      <c r="AM113" s="88"/>
      <c r="AO113" s="86"/>
      <c r="AP113" s="86"/>
      <c r="CB113" s="17"/>
      <c r="CC113" s="17"/>
    </row>
    <row r="114" spans="1:81" ht="12.75" customHeight="1" x14ac:dyDescent="0.2">
      <c r="A114" s="117"/>
      <c r="B114" s="51"/>
      <c r="C114" s="51"/>
      <c r="D114" s="51"/>
      <c r="E114" s="51"/>
      <c r="F114" s="51"/>
      <c r="G114" s="51"/>
      <c r="H114" s="51"/>
      <c r="I114" s="51"/>
      <c r="J114" s="19" t="s">
        <v>88</v>
      </c>
      <c r="K114" s="106"/>
      <c r="L114" s="51" t="str">
        <f>IF(ChoixVaccinPintades=OUI,"coût : " &amp;SUM(TotalPintades)*PrixVaccinPintade &amp;"€/an","")</f>
        <v/>
      </c>
      <c r="M114" s="51"/>
      <c r="N114" s="44"/>
      <c r="O114" s="8"/>
      <c r="P114" s="62"/>
      <c r="Q114" s="62"/>
      <c r="R114" s="63"/>
      <c r="S114" s="60"/>
      <c r="Z114" s="58"/>
      <c r="AA114" s="58"/>
      <c r="AB114" s="58"/>
      <c r="AJ114" s="56"/>
      <c r="AK114" s="56"/>
      <c r="AM114" s="88"/>
      <c r="AO114" s="86"/>
      <c r="AP114" s="86"/>
      <c r="CB114" s="17"/>
      <c r="CC114" s="17"/>
    </row>
    <row r="115" spans="1:81" ht="12.75" customHeight="1" thickBot="1" x14ac:dyDescent="0.25">
      <c r="A115" s="125"/>
      <c r="B115" s="52"/>
      <c r="C115" s="52"/>
      <c r="D115" s="52"/>
      <c r="E115" s="52"/>
      <c r="F115" s="52"/>
      <c r="G115" s="52"/>
      <c r="H115" s="52"/>
      <c r="I115" s="52"/>
      <c r="J115" s="52"/>
      <c r="K115" s="52"/>
      <c r="L115" s="52"/>
      <c r="M115" s="52"/>
      <c r="N115" s="46"/>
      <c r="O115" s="8"/>
      <c r="P115" s="62"/>
      <c r="Q115" s="62"/>
      <c r="R115" s="63"/>
      <c r="S115" s="60"/>
      <c r="Z115" s="58"/>
      <c r="AA115" s="58"/>
      <c r="AB115" s="58"/>
      <c r="AJ115" s="56"/>
      <c r="AK115" s="56"/>
      <c r="AM115" s="88"/>
      <c r="AO115" s="86"/>
      <c r="AP115" s="86"/>
      <c r="CB115" s="17"/>
      <c r="CC115" s="17"/>
    </row>
    <row r="116" spans="1:81" ht="12.75" customHeight="1" thickBot="1" x14ac:dyDescent="0.25">
      <c r="A116" s="93" t="s">
        <v>57</v>
      </c>
      <c r="B116" s="94"/>
      <c r="C116" s="94"/>
      <c r="D116" s="94"/>
      <c r="E116" s="94"/>
      <c r="F116" s="94"/>
      <c r="G116" s="94"/>
      <c r="H116" s="94"/>
      <c r="I116" s="94"/>
      <c r="J116" s="94"/>
      <c r="K116" s="94"/>
      <c r="L116" s="94"/>
      <c r="M116" s="94"/>
      <c r="N116" s="95"/>
      <c r="O116" s="8"/>
      <c r="P116" s="62"/>
      <c r="Q116" s="62"/>
      <c r="R116" s="63"/>
      <c r="S116" s="60"/>
      <c r="Z116" s="58"/>
      <c r="AA116" s="58"/>
      <c r="AB116" s="58"/>
      <c r="AJ116" s="56"/>
      <c r="AK116" s="56"/>
      <c r="AM116" s="88"/>
      <c r="AO116" s="86"/>
      <c r="AP116" s="86"/>
      <c r="CB116" s="17"/>
      <c r="CC116" s="17"/>
    </row>
    <row r="117" spans="1:81" ht="12.75" customHeight="1" thickBot="1" x14ac:dyDescent="0.25">
      <c r="A117" s="97" t="str">
        <f>"Total : "&amp;SUM(TotalLapins)</f>
        <v>Total : 0</v>
      </c>
      <c r="B117" s="47"/>
      <c r="C117" s="33" t="s">
        <v>257</v>
      </c>
      <c r="D117" s="78" t="s">
        <v>829</v>
      </c>
      <c r="E117" s="47"/>
      <c r="F117" s="47"/>
      <c r="G117" s="47"/>
      <c r="H117" s="47"/>
      <c r="I117" s="47"/>
      <c r="J117" s="422" t="s">
        <v>255</v>
      </c>
      <c r="K117" s="422"/>
      <c r="L117" s="47"/>
      <c r="M117" s="47"/>
      <c r="N117" s="43"/>
      <c r="O117" s="8"/>
      <c r="P117" s="62"/>
      <c r="Q117" s="62"/>
      <c r="R117" s="63"/>
      <c r="S117" s="60"/>
      <c r="Z117" s="58"/>
      <c r="AA117" s="58"/>
      <c r="AB117" s="58"/>
      <c r="AJ117" s="56"/>
      <c r="AK117" s="56"/>
      <c r="AM117" s="88"/>
      <c r="AO117" s="86"/>
      <c r="AP117" s="86"/>
      <c r="CB117" s="17"/>
      <c r="CC117" s="17"/>
    </row>
    <row r="118" spans="1:81" ht="12.75" customHeight="1" x14ac:dyDescent="0.2">
      <c r="A118" s="97"/>
      <c r="B118" s="26" t="s">
        <v>58</v>
      </c>
      <c r="C118" s="121"/>
      <c r="D118" s="4"/>
      <c r="E118" s="47"/>
      <c r="F118" s="47"/>
      <c r="G118" s="47"/>
      <c r="H118" s="47"/>
      <c r="I118" s="47"/>
      <c r="J118" s="418"/>
      <c r="K118" s="419"/>
      <c r="L118" s="47"/>
      <c r="M118" s="47"/>
      <c r="N118" s="43"/>
      <c r="O118" s="8"/>
      <c r="P118" s="85"/>
      <c r="Q118" s="85"/>
      <c r="R118" s="147"/>
      <c r="S118" s="60"/>
      <c r="AJ118" s="56"/>
      <c r="AK118" s="56"/>
      <c r="AM118" s="88"/>
      <c r="AO118" s="86"/>
      <c r="AP118" s="86"/>
      <c r="CB118" s="17"/>
      <c r="CC118" s="17"/>
    </row>
    <row r="119" spans="1:81" ht="12.75" customHeight="1" thickBot="1" x14ac:dyDescent="0.25">
      <c r="A119" s="97"/>
      <c r="B119" s="29" t="s">
        <v>59</v>
      </c>
      <c r="C119" s="122"/>
      <c r="D119" s="230"/>
      <c r="E119" s="47"/>
      <c r="F119" s="47"/>
      <c r="G119" s="47"/>
      <c r="H119" s="47"/>
      <c r="I119" s="47"/>
      <c r="J119" s="47"/>
      <c r="K119" s="47"/>
      <c r="L119" s="47"/>
      <c r="M119" s="47"/>
      <c r="N119" s="43"/>
      <c r="O119" s="96"/>
      <c r="P119" s="85"/>
      <c r="Q119" s="85"/>
      <c r="R119" s="147"/>
      <c r="S119" s="60"/>
      <c r="AJ119" s="56"/>
      <c r="AK119" s="56"/>
      <c r="AM119" s="88"/>
      <c r="AO119" s="86"/>
      <c r="AP119" s="86"/>
      <c r="CB119" s="17"/>
      <c r="CC119" s="17"/>
    </row>
    <row r="120" spans="1:81" ht="12.75" customHeight="1" x14ac:dyDescent="0.2">
      <c r="A120" s="97"/>
      <c r="B120" s="27" t="s">
        <v>60</v>
      </c>
      <c r="C120" s="123"/>
      <c r="D120" s="4"/>
      <c r="E120" s="47"/>
      <c r="F120" s="47"/>
      <c r="G120" s="47"/>
      <c r="H120" s="47"/>
      <c r="I120" s="47"/>
      <c r="J120" s="422" t="s">
        <v>223</v>
      </c>
      <c r="K120" s="422"/>
      <c r="L120" s="47"/>
      <c r="M120" s="47"/>
      <c r="N120" s="43"/>
      <c r="O120" s="96"/>
      <c r="P120" s="85"/>
      <c r="Q120" s="85"/>
      <c r="R120" s="147"/>
      <c r="S120" s="60"/>
      <c r="AJ120" s="56"/>
      <c r="AK120" s="56"/>
      <c r="AM120" s="88"/>
      <c r="AO120" s="86"/>
      <c r="AP120" s="86"/>
      <c r="CB120" s="17"/>
      <c r="CC120" s="17"/>
    </row>
    <row r="121" spans="1:81" ht="12.75" customHeight="1" thickBot="1" x14ac:dyDescent="0.25">
      <c r="A121" s="97"/>
      <c r="B121" s="14" t="s">
        <v>61</v>
      </c>
      <c r="C121" s="5"/>
      <c r="D121" s="230"/>
      <c r="E121" s="47"/>
      <c r="F121" s="47"/>
      <c r="G121" s="47"/>
      <c r="H121" s="47"/>
      <c r="I121" s="47"/>
      <c r="J121" s="425"/>
      <c r="K121" s="425"/>
      <c r="L121" s="47"/>
      <c r="M121" s="47"/>
      <c r="N121" s="43"/>
      <c r="O121" s="96"/>
      <c r="P121" s="85"/>
      <c r="Q121" s="85"/>
      <c r="R121" s="147"/>
      <c r="S121" s="60"/>
      <c r="AJ121" s="56"/>
      <c r="AK121" s="56"/>
      <c r="AM121" s="88"/>
      <c r="AO121" s="86"/>
      <c r="AP121" s="86"/>
      <c r="CB121" s="17"/>
      <c r="CC121" s="17"/>
    </row>
    <row r="122" spans="1:81" ht="12.75" customHeight="1" x14ac:dyDescent="0.2">
      <c r="A122" s="97"/>
      <c r="B122" s="34" t="s">
        <v>62</v>
      </c>
      <c r="C122" s="4"/>
      <c r="D122" s="4"/>
      <c r="E122" s="47"/>
      <c r="F122" s="47"/>
      <c r="G122" s="47"/>
      <c r="H122" s="47"/>
      <c r="I122" s="47"/>
      <c r="J122" s="47"/>
      <c r="K122" s="47"/>
      <c r="L122" s="47"/>
      <c r="M122" s="47"/>
      <c r="N122" s="43"/>
      <c r="O122" s="96"/>
      <c r="P122" s="85"/>
      <c r="Q122" s="85"/>
      <c r="R122" s="147"/>
      <c r="S122" s="60"/>
      <c r="AJ122" s="56"/>
      <c r="AK122" s="56"/>
      <c r="AM122" s="88"/>
      <c r="AO122" s="86"/>
      <c r="AP122" s="86"/>
      <c r="CB122" s="17"/>
      <c r="CC122" s="17"/>
    </row>
    <row r="123" spans="1:81" ht="12.75" customHeight="1" thickBot="1" x14ac:dyDescent="0.25">
      <c r="A123" s="97"/>
      <c r="B123" s="36" t="s">
        <v>878</v>
      </c>
      <c r="C123" s="5"/>
      <c r="D123" s="230"/>
      <c r="E123" s="47"/>
      <c r="F123" s="47"/>
      <c r="G123" s="47"/>
      <c r="H123" s="47"/>
      <c r="I123" s="47"/>
      <c r="J123" s="420" t="s">
        <v>453</v>
      </c>
      <c r="K123" s="421"/>
      <c r="L123" s="47"/>
      <c r="M123" s="47"/>
      <c r="N123" s="43"/>
      <c r="O123" s="96"/>
      <c r="P123" s="85"/>
      <c r="Q123" s="85"/>
      <c r="R123" s="147"/>
      <c r="S123" s="60"/>
      <c r="AJ123" s="56"/>
      <c r="AK123" s="56"/>
      <c r="AM123" s="88"/>
      <c r="AO123" s="86"/>
      <c r="AP123" s="86"/>
      <c r="CB123" s="17"/>
      <c r="CC123" s="17"/>
    </row>
    <row r="124" spans="1:81" ht="12.75" customHeight="1" x14ac:dyDescent="0.2">
      <c r="A124" s="97"/>
      <c r="B124" s="47"/>
      <c r="C124" s="47"/>
      <c r="D124" s="47"/>
      <c r="E124" s="47"/>
      <c r="F124" s="47"/>
      <c r="G124" s="47"/>
      <c r="H124" s="47"/>
      <c r="I124" s="47"/>
      <c r="J124" s="418"/>
      <c r="K124" s="419"/>
      <c r="L124" s="47"/>
      <c r="M124" s="47"/>
      <c r="N124" s="43"/>
      <c r="O124" s="96"/>
      <c r="P124" s="85"/>
      <c r="Q124" s="85"/>
      <c r="R124" s="147"/>
      <c r="S124" s="60"/>
      <c r="AJ124" s="56"/>
      <c r="AK124" s="56"/>
      <c r="AM124" s="88"/>
      <c r="AO124" s="86"/>
      <c r="AP124" s="86"/>
      <c r="CB124" s="17"/>
      <c r="CC124" s="17"/>
    </row>
    <row r="125" spans="1:81" ht="12.75" customHeight="1" x14ac:dyDescent="0.2">
      <c r="A125" s="97"/>
      <c r="B125" s="47"/>
      <c r="C125" s="47"/>
      <c r="D125" s="47"/>
      <c r="E125" s="47"/>
      <c r="F125" s="47"/>
      <c r="G125" s="47"/>
      <c r="H125" s="47"/>
      <c r="I125" s="47"/>
      <c r="J125" s="103"/>
      <c r="K125" s="47"/>
      <c r="L125" s="47"/>
      <c r="M125" s="47"/>
      <c r="N125" s="43"/>
      <c r="O125" s="96"/>
      <c r="P125" s="85"/>
      <c r="Q125" s="85"/>
      <c r="R125" s="147"/>
      <c r="S125" s="60"/>
      <c r="AJ125" s="56"/>
      <c r="AK125" s="56"/>
      <c r="AM125" s="88"/>
      <c r="AO125" s="86"/>
      <c r="AP125" s="86"/>
      <c r="CB125" s="17"/>
      <c r="CC125" s="17"/>
    </row>
    <row r="126" spans="1:81" ht="12.75" customHeight="1" x14ac:dyDescent="0.2">
      <c r="A126" s="97"/>
      <c r="B126" s="47"/>
      <c r="C126" s="47"/>
      <c r="D126" s="47"/>
      <c r="E126" s="47"/>
      <c r="F126" s="47"/>
      <c r="G126" s="47"/>
      <c r="H126" s="47"/>
      <c r="I126" s="47"/>
      <c r="J126" s="420" t="s">
        <v>873</v>
      </c>
      <c r="K126" s="421"/>
      <c r="L126" s="47"/>
      <c r="M126" s="47"/>
      <c r="N126" s="43"/>
      <c r="O126" s="96"/>
      <c r="P126" s="85"/>
      <c r="Q126" s="85"/>
      <c r="R126" s="147"/>
      <c r="S126" s="60"/>
      <c r="AJ126" s="56"/>
      <c r="AK126" s="56"/>
      <c r="AM126" s="88"/>
      <c r="AO126" s="86"/>
      <c r="AP126" s="86"/>
      <c r="CB126" s="17"/>
      <c r="CC126" s="17"/>
    </row>
    <row r="127" spans="1:81" ht="12.75" customHeight="1" x14ac:dyDescent="0.2">
      <c r="A127" s="97"/>
      <c r="B127" s="47"/>
      <c r="C127" s="47"/>
      <c r="D127" s="47"/>
      <c r="E127" s="47"/>
      <c r="F127" s="47"/>
      <c r="G127" s="47"/>
      <c r="H127" s="47"/>
      <c r="I127" s="47"/>
      <c r="J127" s="418"/>
      <c r="K127" s="419"/>
      <c r="L127" s="47"/>
      <c r="M127" s="47"/>
      <c r="N127" s="43"/>
      <c r="O127" s="96"/>
      <c r="P127" s="85"/>
      <c r="Q127" s="85"/>
      <c r="R127" s="147"/>
      <c r="S127" s="60"/>
      <c r="AJ127" s="56"/>
      <c r="AK127" s="56"/>
      <c r="AM127" s="88"/>
      <c r="AO127" s="86"/>
      <c r="AP127" s="86"/>
      <c r="CB127" s="17"/>
      <c r="CC127" s="17"/>
    </row>
    <row r="128" spans="1:81" ht="12.75" customHeight="1" x14ac:dyDescent="0.2">
      <c r="A128" s="97"/>
      <c r="B128" s="47"/>
      <c r="C128" s="47"/>
      <c r="D128" s="47"/>
      <c r="E128" s="47"/>
      <c r="F128" s="47"/>
      <c r="G128" s="47"/>
      <c r="H128" s="47"/>
      <c r="I128" s="47"/>
      <c r="J128" s="103"/>
      <c r="K128" s="47"/>
      <c r="L128" s="47"/>
      <c r="M128" s="47"/>
      <c r="N128" s="43"/>
      <c r="O128" s="96"/>
      <c r="P128" s="85"/>
      <c r="Q128" s="85"/>
      <c r="R128" s="147"/>
      <c r="AJ128" s="56"/>
      <c r="AK128" s="56"/>
      <c r="AM128" s="88"/>
      <c r="AO128" s="86"/>
      <c r="AP128" s="86"/>
      <c r="CB128" s="17"/>
      <c r="CC128" s="17"/>
    </row>
    <row r="129" spans="1:81" ht="12.75" customHeight="1" x14ac:dyDescent="0.2">
      <c r="A129" s="97"/>
      <c r="B129" s="47"/>
      <c r="C129" s="47"/>
      <c r="D129" s="47"/>
      <c r="E129" s="47"/>
      <c r="F129" s="47"/>
      <c r="G129" s="47"/>
      <c r="H129" s="47"/>
      <c r="I129" s="47"/>
      <c r="J129" s="426" t="s">
        <v>256</v>
      </c>
      <c r="K129" s="427"/>
      <c r="L129" s="47"/>
      <c r="M129" s="47"/>
      <c r="N129" s="43"/>
      <c r="O129" s="96"/>
      <c r="P129" s="85"/>
      <c r="Q129" s="85"/>
      <c r="R129" s="147"/>
      <c r="S129" s="58"/>
      <c r="AJ129" s="56"/>
      <c r="AK129" s="56"/>
      <c r="AM129" s="88"/>
      <c r="AO129" s="86"/>
      <c r="AP129" s="86"/>
      <c r="CB129" s="17"/>
      <c r="CC129" s="17"/>
    </row>
    <row r="130" spans="1:81" ht="12.75" customHeight="1" x14ac:dyDescent="0.2">
      <c r="A130" s="97"/>
      <c r="B130" s="47"/>
      <c r="C130" s="47"/>
      <c r="D130" s="47"/>
      <c r="E130" s="47"/>
      <c r="F130" s="47"/>
      <c r="G130" s="47"/>
      <c r="H130" s="47"/>
      <c r="I130" s="47"/>
      <c r="J130" s="418"/>
      <c r="K130" s="419"/>
      <c r="L130" s="47"/>
      <c r="M130" s="47"/>
      <c r="N130" s="43"/>
      <c r="O130" s="96"/>
      <c r="P130" s="85"/>
      <c r="Q130" s="85"/>
      <c r="R130" s="147"/>
      <c r="AJ130" s="56"/>
      <c r="AK130" s="56"/>
      <c r="AM130" s="88"/>
      <c r="AO130" s="86"/>
      <c r="AP130" s="86"/>
      <c r="CB130" s="17"/>
      <c r="CC130" s="17"/>
    </row>
    <row r="131" spans="1:81" ht="12.75" customHeight="1" x14ac:dyDescent="0.2">
      <c r="A131" s="97"/>
      <c r="B131" s="47"/>
      <c r="C131" s="47"/>
      <c r="D131" s="47"/>
      <c r="E131" s="47"/>
      <c r="F131" s="47"/>
      <c r="G131" s="47"/>
      <c r="H131" s="47"/>
      <c r="I131" s="47"/>
      <c r="J131" s="418"/>
      <c r="K131" s="419"/>
      <c r="L131" s="47"/>
      <c r="M131" s="47"/>
      <c r="N131" s="43"/>
      <c r="O131" s="96"/>
      <c r="P131" s="85"/>
      <c r="Q131" s="85"/>
      <c r="R131" s="147"/>
      <c r="AJ131" s="56"/>
      <c r="AK131" s="56"/>
      <c r="AM131" s="88"/>
      <c r="AO131" s="86"/>
      <c r="AP131" s="86"/>
      <c r="CB131" s="17"/>
      <c r="CC131" s="17"/>
    </row>
    <row r="132" spans="1:81" ht="12.75" customHeight="1" x14ac:dyDescent="0.2">
      <c r="A132" s="97"/>
      <c r="B132" s="47"/>
      <c r="C132" s="47"/>
      <c r="D132" s="47"/>
      <c r="E132" s="47"/>
      <c r="F132" s="47"/>
      <c r="G132" s="47"/>
      <c r="H132" s="47"/>
      <c r="I132" s="47"/>
      <c r="J132" s="47"/>
      <c r="K132" s="47"/>
      <c r="L132" s="47"/>
      <c r="M132" s="47"/>
      <c r="N132" s="43"/>
      <c r="O132" s="96"/>
      <c r="P132" s="85"/>
      <c r="Q132" s="85"/>
      <c r="R132" s="147"/>
      <c r="AJ132" s="56"/>
      <c r="AK132" s="56"/>
      <c r="AM132" s="88"/>
      <c r="AO132" s="86"/>
      <c r="AP132" s="86"/>
      <c r="CB132" s="17"/>
      <c r="CC132" s="17"/>
    </row>
    <row r="133" spans="1:81" ht="12.75" customHeight="1" x14ac:dyDescent="0.2">
      <c r="A133" s="97"/>
      <c r="B133" s="47"/>
      <c r="C133" s="47"/>
      <c r="D133" s="47"/>
      <c r="E133" s="47"/>
      <c r="F133" s="47"/>
      <c r="G133" s="47"/>
      <c r="H133" s="47"/>
      <c r="I133" s="47"/>
      <c r="J133" s="18" t="s">
        <v>89</v>
      </c>
      <c r="K133" s="106"/>
      <c r="L133" s="47" t="str">
        <f>IF(OR(ChoixPaillageLapins="",ChoixPaillageLapins=NON),"","coût : "&amp;PrixPaille*84*SUM(TotalLapins)/1000&amp;"€/an")</f>
        <v/>
      </c>
      <c r="M133" s="47"/>
      <c r="N133" s="43"/>
      <c r="O133" s="96"/>
      <c r="P133" s="85"/>
      <c r="Q133" s="85"/>
      <c r="R133" s="147"/>
      <c r="AJ133" s="56"/>
      <c r="AK133" s="56"/>
      <c r="AM133" s="88"/>
      <c r="AO133" s="86"/>
      <c r="AP133" s="86"/>
      <c r="CB133" s="17"/>
      <c r="CC133" s="17"/>
    </row>
    <row r="134" spans="1:81" ht="12.75" customHeight="1" x14ac:dyDescent="0.2">
      <c r="A134" s="97"/>
      <c r="B134" s="47"/>
      <c r="C134" s="47"/>
      <c r="D134" s="47"/>
      <c r="E134" s="47"/>
      <c r="F134" s="47"/>
      <c r="G134" s="47"/>
      <c r="H134" s="47"/>
      <c r="I134" s="47"/>
      <c r="J134" s="19" t="s">
        <v>88</v>
      </c>
      <c r="K134" s="106"/>
      <c r="L134" s="47" t="str">
        <f>IF(ChoixVaccinLapins=OUI,"coût : " &amp;SUM(TotalLapins)*PrixVaccinLapin &amp;"€/an","")</f>
        <v/>
      </c>
      <c r="M134" s="47"/>
      <c r="N134" s="43"/>
      <c r="O134" s="96"/>
      <c r="P134" s="85"/>
      <c r="Q134" s="85"/>
      <c r="R134" s="147"/>
      <c r="AJ134" s="56"/>
      <c r="AK134" s="56"/>
      <c r="AM134" s="88"/>
      <c r="AO134" s="86"/>
      <c r="AP134" s="86"/>
      <c r="CB134" s="17"/>
      <c r="CC134" s="17"/>
    </row>
    <row r="135" spans="1:81" ht="12.75" customHeight="1" thickBot="1" x14ac:dyDescent="0.25">
      <c r="A135" s="107"/>
      <c r="B135" s="109"/>
      <c r="C135" s="109"/>
      <c r="D135" s="109"/>
      <c r="E135" s="109"/>
      <c r="F135" s="109"/>
      <c r="G135" s="109"/>
      <c r="H135" s="109"/>
      <c r="I135" s="109"/>
      <c r="J135" s="109"/>
      <c r="K135" s="109"/>
      <c r="L135" s="109"/>
      <c r="M135" s="109"/>
      <c r="N135" s="110"/>
      <c r="O135" s="96"/>
      <c r="P135" s="85"/>
      <c r="Q135" s="85"/>
      <c r="R135" s="147"/>
      <c r="AJ135" s="56"/>
      <c r="AK135" s="56"/>
      <c r="AM135" s="88"/>
      <c r="AO135" s="86"/>
      <c r="AP135" s="86"/>
      <c r="CB135" s="17"/>
      <c r="CC135" s="17"/>
    </row>
    <row r="136" spans="1:81" ht="12.75" customHeight="1" thickBot="1" x14ac:dyDescent="0.25">
      <c r="A136" s="111" t="s">
        <v>311</v>
      </c>
      <c r="B136" s="112"/>
      <c r="C136" s="112"/>
      <c r="D136" s="112"/>
      <c r="E136" s="112"/>
      <c r="F136" s="112"/>
      <c r="G136" s="112"/>
      <c r="H136" s="112"/>
      <c r="I136" s="112"/>
      <c r="J136" s="112"/>
      <c r="K136" s="112"/>
      <c r="L136" s="112"/>
      <c r="M136" s="112"/>
      <c r="N136" s="156"/>
      <c r="O136" s="96"/>
      <c r="P136" s="85"/>
      <c r="Q136" s="85"/>
      <c r="R136" s="147"/>
      <c r="AJ136" s="56"/>
      <c r="AK136" s="56"/>
      <c r="AM136" s="88"/>
      <c r="AO136" s="86"/>
      <c r="AP136" s="86"/>
      <c r="CB136" s="17"/>
      <c r="CC136" s="17"/>
    </row>
    <row r="137" spans="1:81" ht="12.75" customHeight="1" thickBot="1" x14ac:dyDescent="0.25">
      <c r="A137" s="117" t="str">
        <f>"Total : "&amp;SUM(TotalOies)</f>
        <v>Total : 0</v>
      </c>
      <c r="B137" s="51"/>
      <c r="C137" s="33" t="s">
        <v>257</v>
      </c>
      <c r="D137" s="78" t="s">
        <v>829</v>
      </c>
      <c r="E137" s="51"/>
      <c r="F137" s="51"/>
      <c r="G137" s="51"/>
      <c r="H137" s="51"/>
      <c r="I137" s="51"/>
      <c r="J137" s="422" t="s">
        <v>255</v>
      </c>
      <c r="K137" s="422"/>
      <c r="L137" s="51"/>
      <c r="M137" s="51"/>
      <c r="N137" s="44"/>
      <c r="O137" s="96"/>
      <c r="P137" s="85"/>
      <c r="Q137" s="85"/>
      <c r="R137" s="147"/>
      <c r="AJ137" s="56"/>
      <c r="AK137" s="56"/>
      <c r="AM137" s="88"/>
      <c r="AO137" s="86"/>
      <c r="AP137" s="86"/>
      <c r="CB137" s="17"/>
      <c r="CC137" s="17"/>
    </row>
    <row r="138" spans="1:81" ht="12.75" customHeight="1" x14ac:dyDescent="0.2">
      <c r="A138" s="117"/>
      <c r="B138" s="26" t="s">
        <v>86</v>
      </c>
      <c r="C138" s="121"/>
      <c r="D138" s="4"/>
      <c r="E138" s="51"/>
      <c r="F138" s="51"/>
      <c r="G138" s="51"/>
      <c r="H138" s="51"/>
      <c r="I138" s="51"/>
      <c r="J138" s="418"/>
      <c r="K138" s="419"/>
      <c r="L138" s="51"/>
      <c r="M138" s="51"/>
      <c r="N138" s="44"/>
      <c r="O138" s="8"/>
      <c r="P138" s="62"/>
      <c r="Q138" s="62"/>
      <c r="R138" s="63"/>
      <c r="S138" s="60"/>
      <c r="Z138" s="58"/>
      <c r="AA138" s="58"/>
      <c r="AB138" s="58"/>
      <c r="AJ138" s="56"/>
      <c r="AK138" s="56"/>
      <c r="AM138" s="88"/>
      <c r="AO138" s="86"/>
      <c r="AP138" s="86"/>
      <c r="CB138" s="17"/>
      <c r="CC138" s="17"/>
    </row>
    <row r="139" spans="1:81" ht="12.75" customHeight="1" thickBot="1" x14ac:dyDescent="0.25">
      <c r="A139" s="117"/>
      <c r="B139" s="29" t="s">
        <v>87</v>
      </c>
      <c r="C139" s="122"/>
      <c r="D139" s="230"/>
      <c r="E139" s="51"/>
      <c r="F139" s="51"/>
      <c r="G139" s="51"/>
      <c r="H139" s="51"/>
      <c r="I139" s="51"/>
      <c r="J139" s="124"/>
      <c r="K139" s="51"/>
      <c r="L139" s="51"/>
      <c r="M139" s="51"/>
      <c r="N139" s="44"/>
      <c r="O139" s="8"/>
      <c r="P139" s="62"/>
      <c r="Q139" s="62"/>
      <c r="R139" s="63"/>
      <c r="S139" s="60"/>
      <c r="Z139" s="58"/>
      <c r="AA139" s="58"/>
      <c r="AB139" s="58"/>
      <c r="AJ139" s="56"/>
      <c r="AK139" s="56"/>
      <c r="AM139" s="88"/>
      <c r="AO139" s="86"/>
      <c r="AP139" s="86"/>
      <c r="CB139" s="17"/>
      <c r="CC139" s="17"/>
    </row>
    <row r="140" spans="1:81" ht="12.75" customHeight="1" x14ac:dyDescent="0.2">
      <c r="A140" s="117"/>
      <c r="B140" s="27" t="s">
        <v>4</v>
      </c>
      <c r="C140" s="123"/>
      <c r="D140" s="4"/>
      <c r="E140" s="51"/>
      <c r="F140" s="51"/>
      <c r="G140" s="51"/>
      <c r="H140" s="51"/>
      <c r="I140" s="51"/>
      <c r="J140" s="420" t="s">
        <v>453</v>
      </c>
      <c r="K140" s="421"/>
      <c r="L140" s="51"/>
      <c r="M140" s="51"/>
      <c r="N140" s="44"/>
      <c r="O140" s="8"/>
      <c r="P140" s="62"/>
      <c r="Q140" s="62"/>
      <c r="R140" s="63"/>
      <c r="S140" s="60"/>
      <c r="Z140" s="58"/>
      <c r="AA140" s="58"/>
      <c r="AB140" s="58"/>
      <c r="AJ140" s="56"/>
      <c r="AK140" s="56"/>
      <c r="AM140" s="88"/>
      <c r="AO140" s="86"/>
      <c r="AP140" s="86"/>
      <c r="CB140" s="17"/>
      <c r="CC140" s="17"/>
    </row>
    <row r="141" spans="1:81" ht="12.75" customHeight="1" thickBot="1" x14ac:dyDescent="0.25">
      <c r="A141" s="117"/>
      <c r="B141" s="14" t="s">
        <v>5</v>
      </c>
      <c r="C141" s="5"/>
      <c r="D141" s="230"/>
      <c r="E141" s="51"/>
      <c r="F141" s="51"/>
      <c r="G141" s="51"/>
      <c r="H141" s="51"/>
      <c r="I141" s="51"/>
      <c r="J141" s="418"/>
      <c r="K141" s="419"/>
      <c r="L141" s="51"/>
      <c r="M141" s="51"/>
      <c r="N141" s="44"/>
      <c r="O141" s="8"/>
      <c r="P141" s="62"/>
      <c r="Q141" s="62"/>
      <c r="R141" s="63"/>
      <c r="S141" s="60"/>
      <c r="Z141" s="58"/>
      <c r="AA141" s="58"/>
      <c r="AB141" s="58"/>
      <c r="AJ141" s="56"/>
      <c r="AK141" s="56"/>
      <c r="AM141" s="88"/>
      <c r="AO141" s="86"/>
      <c r="AP141" s="86"/>
      <c r="CB141" s="17"/>
      <c r="CC141" s="17"/>
    </row>
    <row r="142" spans="1:81" ht="12.75" customHeight="1" x14ac:dyDescent="0.2">
      <c r="A142" s="117"/>
      <c r="B142" s="9" t="s">
        <v>312</v>
      </c>
      <c r="C142" s="4"/>
      <c r="D142" s="4"/>
      <c r="E142" s="51"/>
      <c r="F142" s="51"/>
      <c r="G142" s="51"/>
      <c r="H142" s="51"/>
      <c r="I142" s="51"/>
      <c r="J142" s="124"/>
      <c r="K142" s="51"/>
      <c r="L142" s="51"/>
      <c r="M142" s="118"/>
      <c r="N142" s="119"/>
      <c r="O142" s="8"/>
      <c r="P142" s="62"/>
      <c r="Q142" s="62"/>
      <c r="R142" s="63"/>
      <c r="S142" s="60"/>
      <c r="Z142" s="58"/>
      <c r="AA142" s="58"/>
      <c r="AB142" s="58"/>
      <c r="AJ142" s="56"/>
      <c r="AK142" s="56"/>
      <c r="AM142" s="88"/>
      <c r="AO142" s="86"/>
      <c r="AP142" s="86"/>
      <c r="CB142" s="17"/>
      <c r="CC142" s="17"/>
    </row>
    <row r="143" spans="1:81" ht="12.75" customHeight="1" thickBot="1" x14ac:dyDescent="0.25">
      <c r="A143" s="117"/>
      <c r="B143" s="10" t="s">
        <v>313</v>
      </c>
      <c r="C143" s="5"/>
      <c r="D143" s="230"/>
      <c r="E143" s="51"/>
      <c r="F143" s="51"/>
      <c r="G143" s="51"/>
      <c r="H143" s="51"/>
      <c r="I143" s="51"/>
      <c r="J143" s="420" t="s">
        <v>873</v>
      </c>
      <c r="K143" s="421"/>
      <c r="L143" s="51"/>
      <c r="M143" s="51"/>
      <c r="N143" s="44"/>
      <c r="O143" s="8"/>
      <c r="P143" s="62"/>
      <c r="Q143" s="62"/>
      <c r="R143" s="63"/>
      <c r="S143" s="60"/>
      <c r="Z143" s="58"/>
      <c r="AA143" s="58"/>
      <c r="AB143" s="58"/>
      <c r="AJ143" s="56"/>
      <c r="AK143" s="56"/>
      <c r="AM143" s="88"/>
      <c r="AO143" s="86"/>
      <c r="AP143" s="86"/>
      <c r="CB143" s="17"/>
      <c r="CC143" s="17"/>
    </row>
    <row r="144" spans="1:81" ht="12.75" customHeight="1" x14ac:dyDescent="0.2">
      <c r="A144" s="117"/>
      <c r="B144" s="51"/>
      <c r="C144" s="51"/>
      <c r="D144" s="51"/>
      <c r="E144" s="51"/>
      <c r="F144" s="51"/>
      <c r="G144" s="51"/>
      <c r="H144" s="51"/>
      <c r="I144" s="51"/>
      <c r="J144" s="418"/>
      <c r="K144" s="419"/>
      <c r="L144" s="51"/>
      <c r="M144" s="51"/>
      <c r="N144" s="44"/>
      <c r="O144" s="8"/>
      <c r="P144" s="85"/>
      <c r="Q144" s="85"/>
      <c r="R144" s="147"/>
      <c r="S144" s="60"/>
      <c r="AJ144" s="56"/>
      <c r="AK144" s="56"/>
      <c r="AM144" s="88"/>
      <c r="AO144" s="86"/>
      <c r="AP144" s="86"/>
      <c r="CB144" s="17"/>
      <c r="CC144" s="17"/>
    </row>
    <row r="145" spans="1:81" ht="12.75" customHeight="1" x14ac:dyDescent="0.2">
      <c r="A145" s="117"/>
      <c r="B145" s="51"/>
      <c r="C145" s="51"/>
      <c r="D145" s="51"/>
      <c r="E145" s="51"/>
      <c r="F145" s="51"/>
      <c r="G145" s="51"/>
      <c r="H145" s="51"/>
      <c r="I145" s="51"/>
      <c r="J145" s="51"/>
      <c r="K145" s="51"/>
      <c r="L145" s="118"/>
      <c r="M145" s="51"/>
      <c r="N145" s="44"/>
      <c r="O145" s="96"/>
      <c r="P145" s="85"/>
      <c r="Q145" s="85"/>
      <c r="R145" s="147"/>
      <c r="S145" s="60"/>
      <c r="AJ145" s="56"/>
      <c r="AK145" s="56"/>
      <c r="AM145" s="88"/>
      <c r="AO145" s="86"/>
      <c r="AP145" s="86"/>
      <c r="CB145" s="17"/>
      <c r="CC145" s="17"/>
    </row>
    <row r="146" spans="1:81" ht="12.75" customHeight="1" x14ac:dyDescent="0.2">
      <c r="A146" s="117"/>
      <c r="B146" s="51"/>
      <c r="C146" s="51"/>
      <c r="D146" s="51"/>
      <c r="E146" s="51"/>
      <c r="F146" s="51"/>
      <c r="G146" s="51"/>
      <c r="H146" s="51"/>
      <c r="I146" s="51"/>
      <c r="J146" s="426" t="s">
        <v>256</v>
      </c>
      <c r="K146" s="427"/>
      <c r="L146" s="51"/>
      <c r="M146" s="51"/>
      <c r="N146" s="44"/>
      <c r="O146" s="96"/>
      <c r="P146" s="85"/>
      <c r="Q146" s="85"/>
      <c r="R146" s="147"/>
      <c r="S146" s="60"/>
      <c r="AJ146" s="56"/>
      <c r="AK146" s="56"/>
      <c r="AM146" s="88"/>
      <c r="AO146" s="86"/>
      <c r="AP146" s="86"/>
      <c r="CB146" s="17"/>
      <c r="CC146" s="17"/>
    </row>
    <row r="147" spans="1:81" ht="12.75" customHeight="1" x14ac:dyDescent="0.2">
      <c r="A147" s="117"/>
      <c r="B147" s="51"/>
      <c r="C147" s="51"/>
      <c r="D147" s="51"/>
      <c r="E147" s="51"/>
      <c r="F147" s="51"/>
      <c r="G147" s="51"/>
      <c r="H147" s="51"/>
      <c r="I147" s="51"/>
      <c r="J147" s="418"/>
      <c r="K147" s="419"/>
      <c r="L147" s="51"/>
      <c r="M147" s="51"/>
      <c r="N147" s="44"/>
      <c r="O147" s="96"/>
      <c r="P147" s="85"/>
      <c r="Q147" s="85"/>
      <c r="R147" s="147"/>
      <c r="S147" s="60"/>
      <c r="AJ147" s="56"/>
      <c r="AK147" s="56"/>
      <c r="AM147" s="88"/>
      <c r="AO147" s="86"/>
      <c r="AP147" s="86"/>
      <c r="CB147" s="17"/>
      <c r="CC147" s="17"/>
    </row>
    <row r="148" spans="1:81" ht="12.75" customHeight="1" x14ac:dyDescent="0.2">
      <c r="A148" s="117"/>
      <c r="B148" s="51"/>
      <c r="C148" s="51"/>
      <c r="D148" s="51"/>
      <c r="E148" s="51"/>
      <c r="F148" s="51"/>
      <c r="G148" s="51"/>
      <c r="H148" s="51"/>
      <c r="I148" s="51"/>
      <c r="J148" s="118"/>
      <c r="K148" s="118"/>
      <c r="L148" s="51"/>
      <c r="M148" s="51"/>
      <c r="N148" s="44"/>
      <c r="O148" s="96"/>
      <c r="P148" s="85"/>
      <c r="Q148" s="85"/>
      <c r="R148" s="147"/>
      <c r="S148" s="60"/>
      <c r="AJ148" s="56"/>
      <c r="AK148" s="56"/>
      <c r="AM148" s="88"/>
      <c r="AO148" s="86"/>
      <c r="AP148" s="86"/>
      <c r="CB148" s="17"/>
      <c r="CC148" s="17"/>
    </row>
    <row r="149" spans="1:81" ht="12.75" customHeight="1" x14ac:dyDescent="0.2">
      <c r="A149" s="117"/>
      <c r="B149" s="51"/>
      <c r="C149" s="51"/>
      <c r="D149" s="51"/>
      <c r="E149" s="51"/>
      <c r="F149" s="51"/>
      <c r="G149" s="51"/>
      <c r="H149" s="51"/>
      <c r="I149" s="51"/>
      <c r="J149" s="18" t="s">
        <v>89</v>
      </c>
      <c r="K149" s="106"/>
      <c r="L149" s="51" t="str">
        <f>IF(OR(ChoixPaillageOies="",ChoixPaillageOies=NON),"","coût : "&amp;PrixPaille*84*SUM(TotalOies)/1000&amp;"€/an")</f>
        <v/>
      </c>
      <c r="M149" s="51"/>
      <c r="N149" s="44"/>
      <c r="O149" s="96"/>
      <c r="P149" s="85"/>
      <c r="Q149" s="85"/>
      <c r="R149" s="147"/>
      <c r="S149" s="60"/>
      <c r="AJ149" s="56"/>
      <c r="AK149" s="56"/>
      <c r="AM149" s="88"/>
      <c r="AO149" s="86"/>
      <c r="AP149" s="86"/>
      <c r="CB149" s="17"/>
      <c r="CC149" s="17"/>
    </row>
    <row r="150" spans="1:81" ht="12.75" customHeight="1" x14ac:dyDescent="0.2">
      <c r="A150" s="117"/>
      <c r="B150" s="51"/>
      <c r="C150" s="51"/>
      <c r="D150" s="51"/>
      <c r="E150" s="51"/>
      <c r="F150" s="51"/>
      <c r="G150" s="51"/>
      <c r="H150" s="51"/>
      <c r="I150" s="51"/>
      <c r="J150" s="19" t="s">
        <v>88</v>
      </c>
      <c r="K150" s="106"/>
      <c r="L150" s="51" t="str">
        <f>IF(ChoixVaccinOies=OUI,"coût : " &amp;SUM(TotalOies)*PrixVaccinOie &amp;"€/an","")</f>
        <v/>
      </c>
      <c r="M150" s="51"/>
      <c r="N150" s="44"/>
      <c r="O150" s="96"/>
      <c r="P150" s="85"/>
      <c r="Q150" s="85"/>
      <c r="R150" s="147"/>
      <c r="S150" s="60"/>
      <c r="AJ150" s="56"/>
      <c r="AK150" s="56"/>
      <c r="AM150" s="88"/>
      <c r="AO150" s="86"/>
      <c r="AP150" s="86"/>
      <c r="CB150" s="17"/>
      <c r="CC150" s="17"/>
    </row>
    <row r="151" spans="1:81" ht="12.75" customHeight="1" thickBot="1" x14ac:dyDescent="0.25">
      <c r="A151" s="125"/>
      <c r="B151" s="52"/>
      <c r="C151" s="52"/>
      <c r="D151" s="52"/>
      <c r="E151" s="52"/>
      <c r="F151" s="52"/>
      <c r="G151" s="52"/>
      <c r="H151" s="52"/>
      <c r="I151" s="52"/>
      <c r="J151" s="45"/>
      <c r="K151" s="126"/>
      <c r="L151" s="52"/>
      <c r="M151" s="52"/>
      <c r="N151" s="46"/>
      <c r="O151" s="96"/>
      <c r="P151" s="85"/>
      <c r="Q151" s="85"/>
      <c r="R151" s="147"/>
      <c r="S151" s="60"/>
      <c r="AJ151" s="56"/>
      <c r="AK151" s="56"/>
      <c r="AM151" s="88"/>
      <c r="AO151" s="86"/>
      <c r="AP151" s="86"/>
      <c r="CB151" s="17"/>
      <c r="CC151" s="17"/>
    </row>
    <row r="152" spans="1:81" ht="12.75" customHeight="1" thickBot="1" x14ac:dyDescent="0.25">
      <c r="A152" s="93" t="s">
        <v>6</v>
      </c>
      <c r="B152" s="94"/>
      <c r="C152" s="94"/>
      <c r="D152" s="94"/>
      <c r="E152" s="94"/>
      <c r="F152" s="94"/>
      <c r="G152" s="94"/>
      <c r="H152" s="94"/>
      <c r="I152" s="94"/>
      <c r="J152" s="94"/>
      <c r="K152" s="94"/>
      <c r="L152" s="94"/>
      <c r="M152" s="94"/>
      <c r="N152" s="95"/>
      <c r="O152" s="96"/>
      <c r="P152" s="85"/>
      <c r="Q152" s="85"/>
      <c r="R152" s="147"/>
      <c r="S152" s="60"/>
      <c r="AJ152" s="56"/>
      <c r="AK152" s="56"/>
      <c r="AM152" s="88"/>
      <c r="AO152" s="86"/>
      <c r="AP152" s="86"/>
      <c r="CB152" s="17"/>
      <c r="CC152" s="17"/>
    </row>
    <row r="153" spans="1:81" ht="12.75" customHeight="1" thickBot="1" x14ac:dyDescent="0.25">
      <c r="A153" s="97" t="str">
        <f>"Total : "&amp;SUM(TotalCanards)</f>
        <v>Total : 0</v>
      </c>
      <c r="B153" s="47"/>
      <c r="C153" s="33" t="s">
        <v>257</v>
      </c>
      <c r="D153" s="78" t="s">
        <v>829</v>
      </c>
      <c r="E153" s="47"/>
      <c r="F153" s="47"/>
      <c r="G153" s="47"/>
      <c r="H153" s="47"/>
      <c r="I153" s="47"/>
      <c r="J153" s="422" t="s">
        <v>255</v>
      </c>
      <c r="K153" s="422"/>
      <c r="L153" s="47"/>
      <c r="M153" s="47"/>
      <c r="N153" s="43"/>
      <c r="O153" s="96"/>
      <c r="P153" s="85"/>
      <c r="Q153" s="85"/>
      <c r="R153" s="147"/>
      <c r="S153" s="60"/>
      <c r="AJ153" s="56"/>
      <c r="AK153" s="56"/>
      <c r="AM153" s="88"/>
      <c r="AO153" s="86"/>
      <c r="AP153" s="86"/>
      <c r="CB153" s="17"/>
      <c r="CC153" s="17"/>
    </row>
    <row r="154" spans="1:81" ht="12.75" customHeight="1" x14ac:dyDescent="0.2">
      <c r="A154" s="97"/>
      <c r="B154" s="26" t="s">
        <v>177</v>
      </c>
      <c r="C154" s="121"/>
      <c r="D154" s="4"/>
      <c r="E154" s="47"/>
      <c r="F154" s="47"/>
      <c r="G154" s="47"/>
      <c r="H154" s="47"/>
      <c r="I154" s="47"/>
      <c r="J154" s="418"/>
      <c r="K154" s="419"/>
      <c r="L154" s="47"/>
      <c r="M154" s="47"/>
      <c r="N154" s="43"/>
      <c r="O154" s="96"/>
      <c r="P154" s="85"/>
      <c r="Q154" s="85"/>
      <c r="R154" s="147"/>
      <c r="AJ154" s="56"/>
      <c r="AK154" s="56"/>
      <c r="AM154" s="88"/>
      <c r="AO154" s="86"/>
      <c r="AP154" s="86"/>
      <c r="CB154" s="17"/>
      <c r="CC154" s="17"/>
    </row>
    <row r="155" spans="1:81" ht="12.75" customHeight="1" thickBot="1" x14ac:dyDescent="0.25">
      <c r="A155" s="97"/>
      <c r="B155" s="29" t="s">
        <v>178</v>
      </c>
      <c r="C155" s="122"/>
      <c r="D155" s="230"/>
      <c r="E155" s="47"/>
      <c r="F155" s="47"/>
      <c r="G155" s="47"/>
      <c r="H155" s="47"/>
      <c r="I155" s="47"/>
      <c r="J155" s="103"/>
      <c r="K155" s="47"/>
      <c r="L155" s="47"/>
      <c r="M155" s="47"/>
      <c r="N155" s="43"/>
      <c r="O155" s="96"/>
      <c r="P155" s="85"/>
      <c r="Q155" s="85"/>
      <c r="R155" s="147"/>
      <c r="S155" s="58"/>
      <c r="AJ155" s="56"/>
      <c r="AK155" s="56"/>
      <c r="AM155" s="88"/>
      <c r="AO155" s="86"/>
      <c r="AP155" s="86"/>
      <c r="CB155" s="17"/>
      <c r="CC155" s="17"/>
    </row>
    <row r="156" spans="1:81" ht="12.75" customHeight="1" x14ac:dyDescent="0.2">
      <c r="A156" s="97"/>
      <c r="B156" s="27" t="s">
        <v>179</v>
      </c>
      <c r="C156" s="123"/>
      <c r="D156" s="4"/>
      <c r="E156" s="47"/>
      <c r="F156" s="47"/>
      <c r="G156" s="47"/>
      <c r="H156" s="47"/>
      <c r="I156" s="47"/>
      <c r="J156" s="420" t="s">
        <v>453</v>
      </c>
      <c r="K156" s="421"/>
      <c r="L156" s="47"/>
      <c r="M156" s="47"/>
      <c r="N156" s="43"/>
      <c r="O156" s="96"/>
      <c r="P156" s="85"/>
      <c r="Q156" s="85"/>
      <c r="R156" s="147"/>
      <c r="AJ156" s="56"/>
      <c r="AK156" s="56"/>
      <c r="AM156" s="88"/>
      <c r="AO156" s="86"/>
      <c r="AP156" s="86"/>
      <c r="CB156" s="17"/>
      <c r="CC156" s="17"/>
    </row>
    <row r="157" spans="1:81" ht="12.75" customHeight="1" thickBot="1" x14ac:dyDescent="0.25">
      <c r="A157" s="97"/>
      <c r="B157" s="14" t="s">
        <v>180</v>
      </c>
      <c r="C157" s="5"/>
      <c r="D157" s="230"/>
      <c r="E157" s="47"/>
      <c r="F157" s="47"/>
      <c r="G157" s="47"/>
      <c r="H157" s="47"/>
      <c r="I157" s="47"/>
      <c r="J157" s="418"/>
      <c r="K157" s="419"/>
      <c r="L157" s="47"/>
      <c r="M157" s="47"/>
      <c r="N157" s="43"/>
      <c r="O157" s="96"/>
      <c r="P157" s="85"/>
      <c r="Q157" s="85"/>
      <c r="R157" s="147"/>
      <c r="AJ157" s="56"/>
      <c r="AK157" s="56"/>
      <c r="AM157" s="88"/>
      <c r="AO157" s="86"/>
      <c r="AP157" s="86"/>
      <c r="CB157" s="17"/>
      <c r="CC157" s="17"/>
    </row>
    <row r="158" spans="1:81" ht="12.75" customHeight="1" x14ac:dyDescent="0.2">
      <c r="A158" s="97"/>
      <c r="B158" s="9" t="s">
        <v>182</v>
      </c>
      <c r="C158" s="4"/>
      <c r="D158" s="4"/>
      <c r="E158" s="47"/>
      <c r="F158" s="47"/>
      <c r="G158" s="47"/>
      <c r="H158" s="47"/>
      <c r="I158" s="47"/>
      <c r="J158" s="103"/>
      <c r="K158" s="47"/>
      <c r="L158" s="47"/>
      <c r="M158" s="131"/>
      <c r="N158" s="132"/>
      <c r="O158" s="96"/>
      <c r="P158" s="85"/>
      <c r="Q158" s="85"/>
      <c r="R158" s="147"/>
      <c r="AJ158" s="56"/>
      <c r="AK158" s="56"/>
      <c r="AM158" s="88"/>
      <c r="AO158" s="86"/>
      <c r="AP158" s="86"/>
      <c r="CB158" s="17"/>
      <c r="CC158" s="17"/>
    </row>
    <row r="159" spans="1:81" ht="12.75" customHeight="1" thickBot="1" x14ac:dyDescent="0.25">
      <c r="A159" s="97"/>
      <c r="B159" s="10" t="s">
        <v>181</v>
      </c>
      <c r="C159" s="5"/>
      <c r="D159" s="230"/>
      <c r="E159" s="47"/>
      <c r="F159" s="47"/>
      <c r="G159" s="47"/>
      <c r="H159" s="47"/>
      <c r="I159" s="47"/>
      <c r="J159" s="420" t="s">
        <v>873</v>
      </c>
      <c r="K159" s="421"/>
      <c r="L159" s="47"/>
      <c r="M159" s="47"/>
      <c r="N159" s="43"/>
      <c r="O159" s="96"/>
      <c r="P159" s="85"/>
      <c r="Q159" s="85"/>
      <c r="R159" s="147"/>
      <c r="AJ159" s="56"/>
      <c r="AK159" s="56"/>
      <c r="AM159" s="88"/>
      <c r="AO159" s="86"/>
      <c r="AP159" s="86"/>
      <c r="CB159" s="17"/>
      <c r="CC159" s="17"/>
    </row>
    <row r="160" spans="1:81" ht="12.75" customHeight="1" x14ac:dyDescent="0.2">
      <c r="A160" s="97"/>
      <c r="B160" s="47"/>
      <c r="C160" s="47"/>
      <c r="D160" s="47"/>
      <c r="E160" s="47"/>
      <c r="F160" s="47"/>
      <c r="G160" s="47"/>
      <c r="H160" s="47"/>
      <c r="I160" s="47"/>
      <c r="J160" s="418"/>
      <c r="K160" s="419"/>
      <c r="L160" s="47"/>
      <c r="M160" s="47"/>
      <c r="N160" s="43"/>
      <c r="O160" s="96"/>
      <c r="P160" s="85"/>
      <c r="Q160" s="85"/>
      <c r="R160" s="147"/>
      <c r="AJ160" s="56"/>
      <c r="AK160" s="56"/>
      <c r="AM160" s="88"/>
      <c r="AO160" s="86"/>
      <c r="AP160" s="86"/>
      <c r="CB160" s="17"/>
      <c r="CC160" s="17"/>
    </row>
    <row r="161" spans="1:81" ht="12.75" customHeight="1" x14ac:dyDescent="0.2">
      <c r="A161" s="97"/>
      <c r="B161" s="47"/>
      <c r="C161" s="47"/>
      <c r="D161" s="47"/>
      <c r="E161" s="47"/>
      <c r="F161" s="47"/>
      <c r="G161" s="47"/>
      <c r="H161" s="47"/>
      <c r="I161" s="47"/>
      <c r="J161" s="103"/>
      <c r="K161" s="47"/>
      <c r="L161" s="131"/>
      <c r="M161" s="47"/>
      <c r="N161" s="43"/>
      <c r="O161" s="96"/>
      <c r="P161" s="85"/>
      <c r="Q161" s="85"/>
      <c r="R161" s="147"/>
      <c r="AJ161" s="56"/>
      <c r="AK161" s="56"/>
      <c r="AM161" s="88"/>
      <c r="AO161" s="86"/>
      <c r="AP161" s="86"/>
      <c r="CB161" s="17"/>
      <c r="CC161" s="17"/>
    </row>
    <row r="162" spans="1:81" ht="12.75" customHeight="1" x14ac:dyDescent="0.2">
      <c r="A162" s="97"/>
      <c r="B162" s="47"/>
      <c r="C162" s="47"/>
      <c r="D162" s="47"/>
      <c r="E162" s="47"/>
      <c r="F162" s="47"/>
      <c r="G162" s="47"/>
      <c r="H162" s="47"/>
      <c r="I162" s="47"/>
      <c r="J162" s="426" t="s">
        <v>256</v>
      </c>
      <c r="K162" s="427"/>
      <c r="L162" s="47"/>
      <c r="M162" s="47"/>
      <c r="N162" s="43"/>
      <c r="O162" s="96"/>
      <c r="P162" s="85"/>
      <c r="Q162" s="85"/>
      <c r="R162" s="147"/>
      <c r="AJ162" s="56"/>
      <c r="AK162" s="56"/>
      <c r="AM162" s="88"/>
      <c r="AO162" s="86"/>
      <c r="AP162" s="86"/>
      <c r="CB162" s="17"/>
      <c r="CC162" s="17"/>
    </row>
    <row r="163" spans="1:81" ht="12.75" customHeight="1" x14ac:dyDescent="0.2">
      <c r="A163" s="97"/>
      <c r="B163" s="47"/>
      <c r="C163" s="47"/>
      <c r="D163" s="47"/>
      <c r="E163" s="47"/>
      <c r="F163" s="47"/>
      <c r="G163" s="47"/>
      <c r="H163" s="47"/>
      <c r="I163" s="47"/>
      <c r="J163" s="418"/>
      <c r="K163" s="419"/>
      <c r="L163" s="47"/>
      <c r="M163" s="47"/>
      <c r="N163" s="43"/>
      <c r="O163" s="96"/>
      <c r="P163" s="85"/>
      <c r="Q163" s="85"/>
      <c r="R163" s="147"/>
      <c r="AJ163" s="56"/>
      <c r="AK163" s="56"/>
      <c r="AM163" s="88"/>
      <c r="AO163" s="86"/>
      <c r="AP163" s="86"/>
      <c r="CB163" s="17"/>
      <c r="CC163" s="17"/>
    </row>
    <row r="164" spans="1:81" ht="12.75" customHeight="1" x14ac:dyDescent="0.2">
      <c r="A164" s="97"/>
      <c r="B164" s="47"/>
      <c r="C164" s="47"/>
      <c r="D164" s="47"/>
      <c r="E164" s="47"/>
      <c r="F164" s="47"/>
      <c r="G164" s="47"/>
      <c r="H164" s="47"/>
      <c r="I164" s="47"/>
      <c r="J164" s="131"/>
      <c r="K164" s="131"/>
      <c r="L164" s="47"/>
      <c r="M164" s="47"/>
      <c r="N164" s="43"/>
      <c r="O164" s="96"/>
      <c r="P164" s="85"/>
      <c r="Q164" s="85"/>
      <c r="R164" s="147"/>
      <c r="AJ164" s="56"/>
      <c r="AK164" s="56"/>
      <c r="AM164" s="88"/>
      <c r="AO164" s="86"/>
      <c r="AP164" s="86"/>
      <c r="CB164" s="17"/>
      <c r="CC164" s="17"/>
    </row>
    <row r="165" spans="1:81" ht="12.75" customHeight="1" x14ac:dyDescent="0.2">
      <c r="A165" s="97"/>
      <c r="B165" s="47"/>
      <c r="C165" s="47"/>
      <c r="D165" s="47"/>
      <c r="E165" s="47"/>
      <c r="F165" s="47"/>
      <c r="G165" s="47"/>
      <c r="H165" s="47"/>
      <c r="I165" s="47"/>
      <c r="J165" s="18" t="s">
        <v>89</v>
      </c>
      <c r="K165" s="106"/>
      <c r="L165" s="47" t="str">
        <f>IF(OR(ChoixPaillageCanards="",ChoixPaillageCanards=NON),"","coût : "&amp;PrixPaille*84*SUM(TotalCanards)/1000&amp;"€/an")</f>
        <v/>
      </c>
      <c r="M165" s="47"/>
      <c r="N165" s="43"/>
      <c r="O165" s="96"/>
      <c r="P165" s="85"/>
      <c r="Q165" s="85"/>
      <c r="R165" s="147"/>
      <c r="AJ165" s="56"/>
      <c r="AK165" s="56"/>
      <c r="AM165" s="88"/>
      <c r="AO165" s="86"/>
      <c r="AP165" s="86"/>
      <c r="CB165" s="17"/>
      <c r="CC165" s="17"/>
    </row>
    <row r="166" spans="1:81" ht="12.75" customHeight="1" x14ac:dyDescent="0.2">
      <c r="A166" s="97"/>
      <c r="B166" s="47"/>
      <c r="C166" s="47"/>
      <c r="D166" s="47"/>
      <c r="E166" s="47"/>
      <c r="F166" s="47"/>
      <c r="G166" s="47"/>
      <c r="H166" s="47"/>
      <c r="I166" s="47"/>
      <c r="J166" s="19" t="s">
        <v>88</v>
      </c>
      <c r="K166" s="106"/>
      <c r="L166" s="47" t="str">
        <f>IF(ChoixVaccinCanards=OUI,"coût : " &amp;SUM(TotalCanards)*PrixVaccinOie &amp;"€/an","")</f>
        <v/>
      </c>
      <c r="M166" s="47"/>
      <c r="N166" s="43"/>
      <c r="O166" s="96"/>
      <c r="P166" s="85"/>
      <c r="Q166" s="85"/>
      <c r="R166" s="147"/>
      <c r="AJ166" s="56"/>
      <c r="AK166" s="56"/>
      <c r="AM166" s="88"/>
      <c r="AO166" s="86"/>
      <c r="AP166" s="86"/>
      <c r="CB166" s="17"/>
      <c r="CC166" s="17"/>
    </row>
    <row r="167" spans="1:81" ht="12.75" customHeight="1" thickBot="1" x14ac:dyDescent="0.25">
      <c r="A167" s="107"/>
      <c r="B167" s="109"/>
      <c r="C167" s="109"/>
      <c r="D167" s="109"/>
      <c r="E167" s="109"/>
      <c r="F167" s="109"/>
      <c r="G167" s="109"/>
      <c r="H167" s="109"/>
      <c r="I167" s="109"/>
      <c r="J167" s="109"/>
      <c r="K167" s="109"/>
      <c r="L167" s="109"/>
      <c r="M167" s="109"/>
      <c r="N167" s="110"/>
      <c r="O167" s="96"/>
      <c r="P167" s="85"/>
      <c r="Q167" s="85"/>
      <c r="R167" s="147"/>
      <c r="AJ167" s="56"/>
      <c r="AK167" s="56"/>
      <c r="AM167" s="88"/>
      <c r="AO167" s="86"/>
      <c r="AP167" s="86"/>
      <c r="CB167" s="17"/>
      <c r="CC167" s="17"/>
    </row>
    <row r="168" spans="1:81" ht="12.75" customHeight="1" x14ac:dyDescent="0.2">
      <c r="A168" s="111" t="s">
        <v>701</v>
      </c>
      <c r="B168" s="112"/>
      <c r="C168" s="112"/>
      <c r="D168" s="112"/>
      <c r="E168" s="112"/>
      <c r="F168" s="112"/>
      <c r="G168" s="112"/>
      <c r="H168" s="112"/>
      <c r="I168" s="112"/>
      <c r="J168" s="112"/>
      <c r="K168" s="112"/>
      <c r="L168" s="112"/>
      <c r="M168" s="112"/>
      <c r="N168" s="156"/>
      <c r="O168" s="96"/>
      <c r="P168" s="85"/>
      <c r="Q168" s="85"/>
      <c r="R168" s="147"/>
      <c r="AJ168" s="56"/>
      <c r="AK168" s="56"/>
      <c r="AM168" s="88"/>
      <c r="AO168" s="86"/>
      <c r="AP168" s="86"/>
      <c r="CB168" s="17"/>
      <c r="CC168" s="17"/>
    </row>
    <row r="169" spans="1:81" ht="12.75" customHeight="1" thickBot="1" x14ac:dyDescent="0.25">
      <c r="A169" s="117" t="str">
        <f>"Total : "&amp;SUM(FoieGrasTotalOisons)+FoieGrasJeunesOies_3moisEtPlus</f>
        <v>Total : 0</v>
      </c>
      <c r="B169" s="51" t="s">
        <v>706</v>
      </c>
      <c r="C169" s="51"/>
      <c r="D169" s="51"/>
      <c r="E169" s="51"/>
      <c r="F169" s="51" t="s">
        <v>707</v>
      </c>
      <c r="G169" s="51"/>
      <c r="H169" s="51"/>
      <c r="I169" s="51"/>
      <c r="J169" s="422" t="s">
        <v>255</v>
      </c>
      <c r="K169" s="422"/>
      <c r="L169" s="51"/>
      <c r="M169" s="51"/>
      <c r="N169" s="44"/>
      <c r="O169" s="96"/>
      <c r="P169" s="85"/>
      <c r="Q169" s="85"/>
      <c r="R169" s="147"/>
      <c r="AJ169" s="56"/>
      <c r="AK169" s="56"/>
      <c r="AM169" s="88"/>
      <c r="AO169" s="86"/>
      <c r="AP169" s="86"/>
      <c r="CB169" s="17"/>
      <c r="CC169" s="17"/>
    </row>
    <row r="170" spans="1:81" ht="12.75" customHeight="1" thickBot="1" x14ac:dyDescent="0.25">
      <c r="A170" s="117"/>
      <c r="B170" s="51"/>
      <c r="C170" s="68" t="s">
        <v>257</v>
      </c>
      <c r="D170" s="238" t="s">
        <v>829</v>
      </c>
      <c r="E170" s="51"/>
      <c r="F170" s="51"/>
      <c r="G170" s="68" t="s">
        <v>257</v>
      </c>
      <c r="H170" s="78" t="s">
        <v>829</v>
      </c>
      <c r="I170" s="51"/>
      <c r="J170" s="418"/>
      <c r="K170" s="419"/>
      <c r="L170" s="51"/>
      <c r="M170" s="51"/>
      <c r="N170" s="44"/>
      <c r="O170" s="96"/>
      <c r="P170" s="85"/>
      <c r="Q170" s="85"/>
      <c r="R170" s="147"/>
      <c r="AJ170" s="56"/>
      <c r="AK170" s="56"/>
      <c r="AM170" s="88"/>
      <c r="AO170" s="86"/>
      <c r="AP170" s="86"/>
      <c r="CB170" s="17"/>
      <c r="CC170" s="17"/>
    </row>
    <row r="171" spans="1:81" ht="12.75" customHeight="1" thickBot="1" x14ac:dyDescent="0.25">
      <c r="A171" s="117"/>
      <c r="B171" s="26" t="s">
        <v>704</v>
      </c>
      <c r="C171" s="235"/>
      <c r="D171" s="123"/>
      <c r="E171" s="51"/>
      <c r="F171" s="70" t="s">
        <v>708</v>
      </c>
      <c r="G171" s="157"/>
      <c r="H171" s="234"/>
      <c r="I171" s="51"/>
      <c r="J171" s="124"/>
      <c r="K171" s="51"/>
      <c r="L171" s="51"/>
      <c r="M171" s="51"/>
      <c r="N171" s="44"/>
      <c r="O171" s="96"/>
      <c r="P171" s="85"/>
      <c r="Q171" s="85"/>
      <c r="R171" s="147"/>
      <c r="AJ171" s="56"/>
      <c r="AK171" s="56"/>
      <c r="AM171" s="88"/>
      <c r="AO171" s="86"/>
      <c r="AP171" s="86"/>
      <c r="CB171" s="17"/>
      <c r="CC171" s="17"/>
    </row>
    <row r="172" spans="1:81" ht="12.75" customHeight="1" x14ac:dyDescent="0.2">
      <c r="A172" s="117"/>
      <c r="B172" s="67" t="s">
        <v>705</v>
      </c>
      <c r="C172" s="236"/>
      <c r="D172" s="163"/>
      <c r="E172" s="51"/>
      <c r="F172" s="51"/>
      <c r="G172" s="51"/>
      <c r="H172" s="51"/>
      <c r="I172" s="51"/>
      <c r="J172" s="420" t="s">
        <v>453</v>
      </c>
      <c r="K172" s="421"/>
      <c r="L172" s="51"/>
      <c r="M172" s="51"/>
      <c r="N172" s="44"/>
      <c r="O172" s="96"/>
      <c r="P172" s="85"/>
      <c r="Q172" s="85"/>
      <c r="R172" s="147"/>
      <c r="AJ172" s="56"/>
      <c r="AK172" s="56"/>
      <c r="AM172" s="88"/>
      <c r="AO172" s="86"/>
      <c r="AP172" s="86"/>
      <c r="CB172" s="17"/>
      <c r="CC172" s="17"/>
    </row>
    <row r="173" spans="1:81" ht="12.75" customHeight="1" thickBot="1" x14ac:dyDescent="0.25">
      <c r="A173" s="117"/>
      <c r="B173" s="69" t="s">
        <v>703</v>
      </c>
      <c r="C173" s="237"/>
      <c r="D173" s="230"/>
      <c r="E173" s="51"/>
      <c r="F173" s="51"/>
      <c r="G173" s="51"/>
      <c r="H173" s="51"/>
      <c r="I173" s="51"/>
      <c r="J173" s="418"/>
      <c r="K173" s="419"/>
      <c r="L173" s="51"/>
      <c r="M173" s="51"/>
      <c r="N173" s="44"/>
      <c r="O173" s="96"/>
      <c r="P173" s="85"/>
      <c r="Q173" s="85"/>
      <c r="R173" s="147"/>
      <c r="AJ173" s="56"/>
      <c r="AK173" s="56"/>
      <c r="AM173" s="88"/>
      <c r="AO173" s="86"/>
      <c r="AP173" s="86"/>
      <c r="CB173" s="17"/>
      <c r="CC173" s="17"/>
    </row>
    <row r="174" spans="1:81" ht="12.75" customHeight="1" x14ac:dyDescent="0.2">
      <c r="A174" s="117"/>
      <c r="B174" s="51"/>
      <c r="C174" s="51"/>
      <c r="D174" s="51"/>
      <c r="E174" s="51"/>
      <c r="F174" s="51"/>
      <c r="G174" s="51"/>
      <c r="H174" s="51"/>
      <c r="I174" s="51"/>
      <c r="J174" s="124"/>
      <c r="K174" s="51"/>
      <c r="L174" s="51"/>
      <c r="M174" s="118"/>
      <c r="N174" s="119"/>
      <c r="O174" s="96"/>
      <c r="P174" s="85"/>
      <c r="Q174" s="85"/>
      <c r="R174" s="147"/>
      <c r="AJ174" s="56"/>
      <c r="AK174" s="56"/>
      <c r="AM174" s="88"/>
      <c r="AO174" s="86"/>
      <c r="AP174" s="86"/>
      <c r="CB174" s="17"/>
      <c r="CC174" s="17"/>
    </row>
    <row r="175" spans="1:81" ht="12.75" customHeight="1" x14ac:dyDescent="0.2">
      <c r="A175" s="117"/>
      <c r="B175" s="51"/>
      <c r="C175" s="51"/>
      <c r="D175" s="51"/>
      <c r="E175" s="51"/>
      <c r="F175" s="51"/>
      <c r="G175" s="51"/>
      <c r="H175" s="51"/>
      <c r="I175" s="51"/>
      <c r="J175" s="420" t="s">
        <v>873</v>
      </c>
      <c r="K175" s="421"/>
      <c r="L175" s="51"/>
      <c r="M175" s="51"/>
      <c r="N175" s="44"/>
      <c r="O175" s="96"/>
      <c r="P175" s="85"/>
      <c r="Q175" s="85"/>
      <c r="R175" s="147"/>
      <c r="AJ175" s="56"/>
      <c r="AK175" s="56"/>
      <c r="AM175" s="88"/>
      <c r="AO175" s="86"/>
      <c r="AP175" s="86"/>
      <c r="CB175" s="17"/>
      <c r="CC175" s="17"/>
    </row>
    <row r="176" spans="1:81" ht="12.75" customHeight="1" x14ac:dyDescent="0.2">
      <c r="A176" s="117"/>
      <c r="B176" s="51"/>
      <c r="C176" s="51"/>
      <c r="D176" s="51"/>
      <c r="E176" s="51"/>
      <c r="F176" s="51"/>
      <c r="G176" s="51"/>
      <c r="H176" s="51"/>
      <c r="I176" s="51"/>
      <c r="J176" s="418"/>
      <c r="K176" s="419"/>
      <c r="L176" s="51"/>
      <c r="M176" s="51"/>
      <c r="N176" s="44"/>
      <c r="O176" s="96"/>
      <c r="P176" s="85"/>
      <c r="Q176" s="85"/>
      <c r="R176" s="147"/>
      <c r="AJ176" s="56"/>
      <c r="AK176" s="56"/>
      <c r="AM176" s="88"/>
      <c r="AO176" s="86"/>
      <c r="AP176" s="86"/>
      <c r="CB176" s="17"/>
      <c r="CC176" s="17"/>
    </row>
    <row r="177" spans="1:81" ht="12.75" customHeight="1" x14ac:dyDescent="0.2">
      <c r="A177" s="117"/>
      <c r="B177" s="51"/>
      <c r="C177" s="51"/>
      <c r="D177" s="51"/>
      <c r="E177" s="51"/>
      <c r="F177" s="51"/>
      <c r="G177" s="51"/>
      <c r="H177" s="51"/>
      <c r="I177" s="51"/>
      <c r="J177" s="51"/>
      <c r="K177" s="51"/>
      <c r="L177" s="118"/>
      <c r="M177" s="51"/>
      <c r="N177" s="44"/>
      <c r="O177" s="96"/>
      <c r="P177" s="85"/>
      <c r="Q177" s="85"/>
      <c r="R177" s="147"/>
      <c r="AJ177" s="56"/>
      <c r="AK177" s="56"/>
      <c r="AM177" s="88"/>
      <c r="AO177" s="86"/>
      <c r="AP177" s="86"/>
      <c r="CB177" s="17"/>
      <c r="CC177" s="17"/>
    </row>
    <row r="178" spans="1:81" ht="12.75" customHeight="1" x14ac:dyDescent="0.2">
      <c r="A178" s="117"/>
      <c r="B178" s="51"/>
      <c r="C178" s="51"/>
      <c r="D178" s="51"/>
      <c r="E178" s="51"/>
      <c r="F178" s="51"/>
      <c r="G178" s="51"/>
      <c r="H178" s="51"/>
      <c r="I178" s="51"/>
      <c r="J178" s="426" t="s">
        <v>256</v>
      </c>
      <c r="K178" s="427"/>
      <c r="L178" s="51"/>
      <c r="M178" s="51"/>
      <c r="N178" s="44"/>
      <c r="O178" s="96"/>
      <c r="P178" s="85"/>
      <c r="Q178" s="85"/>
      <c r="R178" s="147"/>
      <c r="AJ178" s="56"/>
      <c r="AK178" s="56"/>
      <c r="AM178" s="88"/>
      <c r="AO178" s="86"/>
      <c r="AP178" s="86"/>
      <c r="CB178" s="17"/>
      <c r="CC178" s="17"/>
    </row>
    <row r="179" spans="1:81" ht="12.75" customHeight="1" x14ac:dyDescent="0.2">
      <c r="A179" s="117"/>
      <c r="B179" s="51"/>
      <c r="C179" s="51"/>
      <c r="D179" s="51"/>
      <c r="E179" s="51"/>
      <c r="F179" s="51"/>
      <c r="G179" s="51"/>
      <c r="H179" s="51"/>
      <c r="I179" s="51"/>
      <c r="J179" s="418"/>
      <c r="K179" s="419"/>
      <c r="L179" s="51"/>
      <c r="M179" s="51"/>
      <c r="N179" s="44"/>
      <c r="O179" s="96"/>
      <c r="P179" s="85"/>
      <c r="Q179" s="85"/>
      <c r="R179" s="147"/>
      <c r="AJ179" s="56"/>
      <c r="AK179" s="56"/>
      <c r="AM179" s="88"/>
      <c r="AO179" s="86"/>
      <c r="AP179" s="86"/>
      <c r="CB179" s="17"/>
      <c r="CC179" s="17"/>
    </row>
    <row r="180" spans="1:81" ht="12.75" customHeight="1" x14ac:dyDescent="0.2">
      <c r="A180" s="117"/>
      <c r="B180" s="51"/>
      <c r="C180" s="51"/>
      <c r="D180" s="51"/>
      <c r="E180" s="51"/>
      <c r="F180" s="51"/>
      <c r="G180" s="51"/>
      <c r="H180" s="51"/>
      <c r="I180" s="51"/>
      <c r="J180" s="118"/>
      <c r="K180" s="118"/>
      <c r="L180" s="51"/>
      <c r="M180" s="51"/>
      <c r="N180" s="44"/>
      <c r="O180" s="96"/>
      <c r="P180" s="85"/>
      <c r="Q180" s="85"/>
      <c r="R180" s="147"/>
      <c r="AJ180" s="56"/>
      <c r="AK180" s="56"/>
      <c r="AM180" s="88"/>
      <c r="AO180" s="86"/>
      <c r="AP180" s="86"/>
      <c r="CB180" s="17"/>
      <c r="CC180" s="17"/>
    </row>
    <row r="181" spans="1:81" ht="12.75" customHeight="1" x14ac:dyDescent="0.2">
      <c r="A181" s="117"/>
      <c r="B181" s="51"/>
      <c r="C181" s="51"/>
      <c r="D181" s="51"/>
      <c r="E181" s="51"/>
      <c r="F181" s="51"/>
      <c r="G181" s="51"/>
      <c r="H181" s="51"/>
      <c r="I181" s="51"/>
      <c r="J181" s="51"/>
      <c r="K181" s="51"/>
      <c r="L181" s="51"/>
      <c r="M181" s="51"/>
      <c r="N181" s="44"/>
      <c r="O181" s="96"/>
      <c r="P181" s="85"/>
      <c r="Q181" s="85"/>
      <c r="R181" s="147"/>
      <c r="AJ181" s="56"/>
      <c r="AK181" s="56"/>
      <c r="AM181" s="88"/>
      <c r="AO181" s="86"/>
      <c r="AP181" s="86"/>
      <c r="CB181" s="17"/>
      <c r="CC181" s="17"/>
    </row>
    <row r="182" spans="1:81" ht="12.75" customHeight="1" x14ac:dyDescent="0.2">
      <c r="A182" s="117"/>
      <c r="B182" s="51"/>
      <c r="C182" s="51"/>
      <c r="D182" s="51"/>
      <c r="E182" s="51"/>
      <c r="F182" s="51"/>
      <c r="G182" s="51"/>
      <c r="H182" s="51"/>
      <c r="I182" s="51"/>
      <c r="J182" s="51"/>
      <c r="K182" s="51"/>
      <c r="L182" s="51"/>
      <c r="M182" s="51"/>
      <c r="N182" s="44"/>
      <c r="O182" s="96"/>
      <c r="P182" s="85"/>
      <c r="Q182" s="85"/>
      <c r="R182" s="147"/>
      <c r="AJ182" s="56"/>
      <c r="AK182" s="56"/>
      <c r="AM182" s="88"/>
      <c r="AO182" s="86"/>
      <c r="AP182" s="86"/>
      <c r="CB182" s="17"/>
      <c r="CC182" s="17"/>
    </row>
    <row r="183" spans="1:81" ht="12.75" customHeight="1" thickBot="1" x14ac:dyDescent="0.25">
      <c r="A183" s="125"/>
      <c r="B183" s="52"/>
      <c r="C183" s="52"/>
      <c r="D183" s="52"/>
      <c r="E183" s="52"/>
      <c r="F183" s="52"/>
      <c r="G183" s="52"/>
      <c r="H183" s="52"/>
      <c r="I183" s="52"/>
      <c r="J183" s="45"/>
      <c r="K183" s="126"/>
      <c r="L183" s="52"/>
      <c r="M183" s="52"/>
      <c r="N183" s="46"/>
      <c r="O183" s="96"/>
      <c r="P183" s="85"/>
      <c r="Q183" s="85"/>
      <c r="R183" s="147"/>
      <c r="AJ183" s="56"/>
      <c r="AK183" s="56"/>
      <c r="AM183" s="88"/>
      <c r="AO183" s="86"/>
      <c r="AP183" s="86"/>
      <c r="CB183" s="17"/>
      <c r="CC183" s="17"/>
    </row>
    <row r="184" spans="1:81" ht="12.75" customHeight="1" x14ac:dyDescent="0.2">
      <c r="A184" s="93" t="s">
        <v>702</v>
      </c>
      <c r="B184" s="94"/>
      <c r="C184" s="94"/>
      <c r="D184" s="94"/>
      <c r="E184" s="94"/>
      <c r="F184" s="94"/>
      <c r="G184" s="94"/>
      <c r="H184" s="94"/>
      <c r="I184" s="94"/>
      <c r="J184" s="94"/>
      <c r="K184" s="94"/>
      <c r="L184" s="94"/>
      <c r="M184" s="94"/>
      <c r="N184" s="95"/>
      <c r="O184" s="96"/>
      <c r="P184" s="85"/>
      <c r="Q184" s="85"/>
      <c r="R184" s="147"/>
      <c r="AJ184" s="56"/>
      <c r="AK184" s="56"/>
      <c r="AM184" s="88"/>
      <c r="AO184" s="86"/>
      <c r="AP184" s="86"/>
      <c r="CB184" s="17"/>
      <c r="CC184" s="17"/>
    </row>
    <row r="185" spans="1:81" ht="12.75" customHeight="1" thickBot="1" x14ac:dyDescent="0.25">
      <c r="A185" s="97" t="str">
        <f>"Total : "&amp;SUM(C187:C189)+TotalJeunesCanards_3moisEtPlus</f>
        <v>Total : 0</v>
      </c>
      <c r="B185" s="47" t="s">
        <v>706</v>
      </c>
      <c r="C185" s="47"/>
      <c r="D185" s="47"/>
      <c r="E185" s="47"/>
      <c r="F185" s="47" t="s">
        <v>707</v>
      </c>
      <c r="G185" s="47"/>
      <c r="H185" s="47"/>
      <c r="I185" s="47"/>
      <c r="J185" s="422" t="s">
        <v>255</v>
      </c>
      <c r="K185" s="422"/>
      <c r="L185" s="47"/>
      <c r="M185" s="47"/>
      <c r="N185" s="43"/>
      <c r="O185" s="96"/>
      <c r="P185" s="85"/>
      <c r="Q185" s="85"/>
      <c r="R185" s="147"/>
      <c r="AJ185" s="56"/>
      <c r="AK185" s="56"/>
      <c r="AM185" s="88"/>
      <c r="AO185" s="86"/>
      <c r="AP185" s="86"/>
      <c r="CB185" s="17"/>
      <c r="CC185" s="17"/>
    </row>
    <row r="186" spans="1:81" ht="12.75" customHeight="1" thickBot="1" x14ac:dyDescent="0.25">
      <c r="A186" s="97"/>
      <c r="B186" s="47"/>
      <c r="C186" s="68" t="s">
        <v>257</v>
      </c>
      <c r="D186" s="238" t="s">
        <v>829</v>
      </c>
      <c r="E186" s="47"/>
      <c r="F186" s="47"/>
      <c r="G186" s="68" t="s">
        <v>257</v>
      </c>
      <c r="H186" s="78" t="s">
        <v>829</v>
      </c>
      <c r="I186" s="47"/>
      <c r="J186" s="418"/>
      <c r="K186" s="419"/>
      <c r="L186" s="47"/>
      <c r="M186" s="47"/>
      <c r="N186" s="43"/>
      <c r="O186" s="96"/>
      <c r="P186" s="85"/>
      <c r="Q186" s="85"/>
      <c r="R186" s="147"/>
      <c r="AJ186" s="56"/>
      <c r="AK186" s="56"/>
      <c r="AM186" s="88"/>
      <c r="AO186" s="86"/>
      <c r="AP186" s="86"/>
      <c r="CB186" s="17"/>
      <c r="CC186" s="17"/>
    </row>
    <row r="187" spans="1:81" ht="12.75" customHeight="1" thickBot="1" x14ac:dyDescent="0.25">
      <c r="A187" s="97"/>
      <c r="B187" s="65" t="s">
        <v>760</v>
      </c>
      <c r="C187" s="235"/>
      <c r="D187" s="123"/>
      <c r="E187" s="47"/>
      <c r="F187" s="71" t="s">
        <v>708</v>
      </c>
      <c r="G187" s="157"/>
      <c r="H187" s="234"/>
      <c r="I187" s="47"/>
      <c r="J187" s="103"/>
      <c r="K187" s="47"/>
      <c r="L187" s="47"/>
      <c r="M187" s="47"/>
      <c r="N187" s="43"/>
      <c r="O187" s="96"/>
      <c r="P187" s="85"/>
      <c r="Q187" s="85"/>
      <c r="R187" s="147"/>
      <c r="AJ187" s="56"/>
      <c r="AK187" s="56"/>
      <c r="AM187" s="88"/>
      <c r="AO187" s="86"/>
      <c r="AP187" s="86"/>
      <c r="CB187" s="17"/>
      <c r="CC187" s="17"/>
    </row>
    <row r="188" spans="1:81" ht="12.75" customHeight="1" x14ac:dyDescent="0.2">
      <c r="A188" s="97"/>
      <c r="B188" s="66" t="s">
        <v>761</v>
      </c>
      <c r="C188" s="236"/>
      <c r="D188" s="163"/>
      <c r="E188" s="47"/>
      <c r="F188" s="47"/>
      <c r="G188" s="47"/>
      <c r="H188" s="47"/>
      <c r="I188" s="47"/>
      <c r="J188" s="420" t="s">
        <v>453</v>
      </c>
      <c r="K188" s="421"/>
      <c r="L188" s="47"/>
      <c r="M188" s="47"/>
      <c r="N188" s="43"/>
      <c r="O188" s="96"/>
      <c r="P188" s="85"/>
      <c r="Q188" s="85"/>
      <c r="R188" s="147"/>
      <c r="AJ188" s="56"/>
      <c r="AK188" s="56"/>
      <c r="AM188" s="88"/>
      <c r="AO188" s="86"/>
      <c r="AP188" s="86"/>
      <c r="CB188" s="17"/>
      <c r="CC188" s="17"/>
    </row>
    <row r="189" spans="1:81" ht="12.75" customHeight="1" thickBot="1" x14ac:dyDescent="0.25">
      <c r="A189" s="97"/>
      <c r="B189" s="72" t="s">
        <v>762</v>
      </c>
      <c r="C189" s="237"/>
      <c r="D189" s="230"/>
      <c r="E189" s="47"/>
      <c r="F189" s="47"/>
      <c r="G189" s="47"/>
      <c r="H189" s="47"/>
      <c r="I189" s="47"/>
      <c r="J189" s="418"/>
      <c r="K189" s="419"/>
      <c r="L189" s="47"/>
      <c r="M189" s="47"/>
      <c r="N189" s="43"/>
      <c r="O189" s="96"/>
      <c r="P189" s="85"/>
      <c r="Q189" s="85"/>
      <c r="R189" s="147"/>
      <c r="AJ189" s="56"/>
      <c r="AK189" s="56"/>
      <c r="AM189" s="88"/>
      <c r="AO189" s="86"/>
      <c r="AP189" s="86"/>
      <c r="CB189" s="17"/>
      <c r="CC189" s="17"/>
    </row>
    <row r="190" spans="1:81" ht="12.75" customHeight="1" x14ac:dyDescent="0.2">
      <c r="A190" s="97"/>
      <c r="B190" s="47"/>
      <c r="C190" s="47"/>
      <c r="D190" s="47"/>
      <c r="E190" s="47"/>
      <c r="F190" s="47"/>
      <c r="G190" s="47"/>
      <c r="H190" s="47"/>
      <c r="I190" s="47"/>
      <c r="J190" s="103"/>
      <c r="K190" s="47"/>
      <c r="L190" s="47"/>
      <c r="M190" s="131"/>
      <c r="N190" s="132"/>
      <c r="O190" s="96"/>
      <c r="P190" s="85"/>
      <c r="Q190" s="85"/>
      <c r="R190" s="147"/>
      <c r="AJ190" s="56"/>
      <c r="AK190" s="56"/>
      <c r="AM190" s="88"/>
      <c r="AO190" s="86"/>
      <c r="AP190" s="86"/>
      <c r="CB190" s="17"/>
      <c r="CC190" s="17"/>
    </row>
    <row r="191" spans="1:81" ht="12.75" customHeight="1" x14ac:dyDescent="0.2">
      <c r="A191" s="97"/>
      <c r="B191" s="47"/>
      <c r="C191" s="47"/>
      <c r="D191" s="47"/>
      <c r="E191" s="47"/>
      <c r="F191" s="47"/>
      <c r="G191" s="47"/>
      <c r="H191" s="47"/>
      <c r="I191" s="47"/>
      <c r="J191" s="420" t="s">
        <v>873</v>
      </c>
      <c r="K191" s="421"/>
      <c r="L191" s="47"/>
      <c r="M191" s="47"/>
      <c r="N191" s="43"/>
      <c r="O191" s="96"/>
      <c r="P191" s="85"/>
      <c r="Q191" s="85"/>
      <c r="R191" s="147"/>
      <c r="AJ191" s="56"/>
      <c r="AK191" s="56"/>
      <c r="AM191" s="88"/>
      <c r="AO191" s="86"/>
      <c r="AP191" s="86"/>
      <c r="CB191" s="17"/>
      <c r="CC191" s="17"/>
    </row>
    <row r="192" spans="1:81" ht="12.75" customHeight="1" x14ac:dyDescent="0.2">
      <c r="A192" s="97"/>
      <c r="B192" s="47"/>
      <c r="C192" s="47"/>
      <c r="D192" s="47"/>
      <c r="E192" s="47"/>
      <c r="F192" s="47"/>
      <c r="G192" s="47"/>
      <c r="H192" s="47"/>
      <c r="I192" s="47"/>
      <c r="J192" s="418"/>
      <c r="K192" s="419"/>
      <c r="L192" s="47"/>
      <c r="M192" s="47"/>
      <c r="N192" s="43"/>
      <c r="O192" s="96"/>
      <c r="P192" s="85"/>
      <c r="Q192" s="85"/>
      <c r="R192" s="147"/>
      <c r="AJ192" s="56"/>
      <c r="AK192" s="56"/>
      <c r="AM192" s="88"/>
      <c r="AO192" s="86"/>
      <c r="AP192" s="86"/>
      <c r="CB192" s="17"/>
      <c r="CC192" s="17"/>
    </row>
    <row r="193" spans="1:81" ht="12.75" customHeight="1" x14ac:dyDescent="0.2">
      <c r="A193" s="97"/>
      <c r="B193" s="47"/>
      <c r="C193" s="47"/>
      <c r="D193" s="47"/>
      <c r="E193" s="47"/>
      <c r="F193" s="47"/>
      <c r="G193" s="47"/>
      <c r="H193" s="47"/>
      <c r="I193" s="47"/>
      <c r="J193" s="103"/>
      <c r="K193" s="47"/>
      <c r="L193" s="131"/>
      <c r="M193" s="47"/>
      <c r="N193" s="43"/>
      <c r="O193" s="96"/>
      <c r="P193" s="85"/>
      <c r="Q193" s="85"/>
      <c r="R193" s="147"/>
      <c r="AJ193" s="56"/>
      <c r="AK193" s="56"/>
      <c r="AM193" s="88"/>
      <c r="AO193" s="86"/>
      <c r="AP193" s="86"/>
      <c r="CB193" s="17"/>
      <c r="CC193" s="17"/>
    </row>
    <row r="194" spans="1:81" ht="12.75" customHeight="1" x14ac:dyDescent="0.2">
      <c r="A194" s="97"/>
      <c r="B194" s="47"/>
      <c r="C194" s="47"/>
      <c r="D194" s="47"/>
      <c r="E194" s="47"/>
      <c r="F194" s="47"/>
      <c r="G194" s="47"/>
      <c r="H194" s="47"/>
      <c r="I194" s="47"/>
      <c r="J194" s="426" t="s">
        <v>256</v>
      </c>
      <c r="K194" s="427"/>
      <c r="L194" s="47"/>
      <c r="M194" s="47"/>
      <c r="N194" s="43"/>
      <c r="O194" s="96"/>
      <c r="P194" s="85"/>
      <c r="Q194" s="85"/>
      <c r="R194" s="147"/>
      <c r="AJ194" s="56"/>
      <c r="AK194" s="56"/>
      <c r="AM194" s="88"/>
      <c r="AO194" s="86"/>
      <c r="AP194" s="86"/>
      <c r="CB194" s="17"/>
      <c r="CC194" s="17"/>
    </row>
    <row r="195" spans="1:81" ht="12.75" customHeight="1" x14ac:dyDescent="0.2">
      <c r="A195" s="97"/>
      <c r="B195" s="47"/>
      <c r="C195" s="47"/>
      <c r="D195" s="47"/>
      <c r="E195" s="47"/>
      <c r="F195" s="47"/>
      <c r="G195" s="47"/>
      <c r="H195" s="47"/>
      <c r="I195" s="47"/>
      <c r="J195" s="418"/>
      <c r="K195" s="419"/>
      <c r="L195" s="47"/>
      <c r="M195" s="47"/>
      <c r="N195" s="43"/>
      <c r="O195" s="96"/>
      <c r="P195" s="85"/>
      <c r="Q195" s="85"/>
      <c r="R195" s="147"/>
      <c r="AJ195" s="56"/>
      <c r="AK195" s="56"/>
      <c r="AM195" s="88"/>
      <c r="AO195" s="86"/>
      <c r="AP195" s="86"/>
      <c r="CB195" s="17"/>
      <c r="CC195" s="17"/>
    </row>
    <row r="196" spans="1:81" ht="12.75" customHeight="1" thickBot="1" x14ac:dyDescent="0.25">
      <c r="A196" s="107"/>
      <c r="B196" s="109"/>
      <c r="C196" s="109"/>
      <c r="D196" s="109"/>
      <c r="E196" s="109"/>
      <c r="F196" s="109"/>
      <c r="G196" s="109"/>
      <c r="H196" s="109"/>
      <c r="I196" s="109"/>
      <c r="J196" s="109"/>
      <c r="K196" s="109"/>
      <c r="L196" s="109"/>
      <c r="M196" s="109"/>
      <c r="N196" s="110"/>
      <c r="O196" s="96"/>
      <c r="P196" s="85"/>
      <c r="Q196" s="85"/>
      <c r="AJ196" s="56"/>
      <c r="AK196" s="56"/>
      <c r="AM196" s="88"/>
      <c r="AO196" s="86"/>
      <c r="AP196" s="86"/>
      <c r="CB196" s="17"/>
      <c r="CC196" s="17"/>
    </row>
    <row r="197" spans="1:81" ht="12.75" customHeight="1" thickBot="1" x14ac:dyDescent="0.25">
      <c r="A197" s="111" t="s">
        <v>20</v>
      </c>
      <c r="B197" s="112"/>
      <c r="C197" s="112"/>
      <c r="D197" s="112"/>
      <c r="E197" s="112"/>
      <c r="F197" s="112"/>
      <c r="G197" s="112"/>
      <c r="H197" s="112"/>
      <c r="I197" s="112"/>
      <c r="J197" s="112"/>
      <c r="K197" s="112"/>
      <c r="L197" s="112"/>
      <c r="M197" s="112"/>
      <c r="N197" s="156"/>
      <c r="O197" s="96"/>
      <c r="P197" s="85"/>
      <c r="Q197" s="85"/>
      <c r="AJ197" s="56"/>
      <c r="AK197" s="56"/>
      <c r="AM197" s="88"/>
      <c r="AO197" s="86"/>
      <c r="AP197" s="86"/>
      <c r="CB197" s="17"/>
      <c r="CC197" s="17"/>
    </row>
    <row r="198" spans="1:81" ht="12.75" customHeight="1" thickBot="1" x14ac:dyDescent="0.25">
      <c r="A198" s="117" t="str">
        <f>"Total : "&amp;SUM(TotalOvins)</f>
        <v>Total : 0</v>
      </c>
      <c r="B198" s="158"/>
      <c r="C198" s="6" t="s">
        <v>11</v>
      </c>
      <c r="D198" s="78" t="s">
        <v>454</v>
      </c>
      <c r="E198" s="78" t="s">
        <v>829</v>
      </c>
      <c r="F198" s="78" t="s">
        <v>455</v>
      </c>
      <c r="G198" s="6" t="s">
        <v>10</v>
      </c>
      <c r="H198" s="233"/>
      <c r="I198" s="51"/>
      <c r="J198" s="422" t="s">
        <v>255</v>
      </c>
      <c r="K198" s="422"/>
      <c r="L198" s="118"/>
      <c r="M198" s="98" t="s">
        <v>801</v>
      </c>
      <c r="N198" s="119"/>
      <c r="O198" s="96"/>
      <c r="P198" s="85"/>
      <c r="Q198" s="85"/>
      <c r="AJ198" s="56"/>
      <c r="AK198" s="56"/>
      <c r="AM198" s="88"/>
      <c r="AO198" s="86"/>
      <c r="AP198" s="86"/>
      <c r="CB198" s="17"/>
      <c r="CC198" s="17"/>
    </row>
    <row r="199" spans="1:81" ht="12.75" customHeight="1" x14ac:dyDescent="0.2">
      <c r="A199" s="117"/>
      <c r="B199" s="26" t="s">
        <v>21</v>
      </c>
      <c r="C199" s="99"/>
      <c r="D199" s="99"/>
      <c r="E199" s="4"/>
      <c r="F199" s="100">
        <f>C199-D199</f>
        <v>0</v>
      </c>
      <c r="G199" s="133" t="e">
        <f>NbreOvinsMâlesAuPré_0_3Mois</f>
        <v>#REF!</v>
      </c>
      <c r="H199" s="149"/>
      <c r="I199" s="51"/>
      <c r="J199" s="418"/>
      <c r="K199" s="419"/>
      <c r="L199" s="118"/>
      <c r="M199" s="226"/>
      <c r="N199" s="119"/>
      <c r="O199" s="96"/>
      <c r="P199" s="85"/>
      <c r="Q199" s="85"/>
      <c r="AJ199" s="56"/>
      <c r="AK199" s="56"/>
      <c r="AM199" s="88"/>
      <c r="AO199" s="86"/>
      <c r="AP199" s="86"/>
      <c r="CB199" s="17"/>
      <c r="CC199" s="17"/>
    </row>
    <row r="200" spans="1:81" ht="12.75" customHeight="1" thickBot="1" x14ac:dyDescent="0.25">
      <c r="A200" s="117"/>
      <c r="B200" s="29" t="s">
        <v>22</v>
      </c>
      <c r="C200" s="101"/>
      <c r="D200" s="101"/>
      <c r="E200" s="230"/>
      <c r="F200" s="102">
        <f t="shared" ref="F200:F206" si="1">C200-D200</f>
        <v>0</v>
      </c>
      <c r="G200" s="134" t="e">
        <f>NbreOvinsFemellesAuPré_0_3Mois</f>
        <v>#REF!</v>
      </c>
      <c r="H200" s="149"/>
      <c r="I200" s="51"/>
      <c r="J200" s="51"/>
      <c r="K200" s="51"/>
      <c r="L200" s="118"/>
      <c r="M200" s="118"/>
      <c r="N200" s="119"/>
      <c r="O200" s="96"/>
      <c r="P200" s="85"/>
      <c r="Q200" s="85"/>
      <c r="AJ200" s="56"/>
      <c r="AK200" s="56"/>
      <c r="AM200" s="88"/>
      <c r="AO200" s="86"/>
      <c r="AP200" s="86"/>
      <c r="CB200" s="17"/>
      <c r="CC200" s="17"/>
    </row>
    <row r="201" spans="1:81" ht="12.75" customHeight="1" x14ac:dyDescent="0.2">
      <c r="A201" s="117"/>
      <c r="B201" s="27" t="s">
        <v>23</v>
      </c>
      <c r="C201" s="104"/>
      <c r="D201" s="104"/>
      <c r="E201" s="4"/>
      <c r="F201" s="100">
        <f>C201-D201</f>
        <v>0</v>
      </c>
      <c r="G201" s="133" t="e">
        <f>NbreOvinsMâlesAuPré_3_6Mois</f>
        <v>#REF!</v>
      </c>
      <c r="H201" s="149"/>
      <c r="I201" s="51"/>
      <c r="J201" s="420" t="s">
        <v>805</v>
      </c>
      <c r="K201" s="421"/>
      <c r="L201" s="118"/>
      <c r="M201" s="98" t="s">
        <v>802</v>
      </c>
      <c r="N201" s="119"/>
      <c r="O201" s="96"/>
      <c r="P201" s="85"/>
      <c r="Q201" s="85"/>
      <c r="AJ201" s="56"/>
      <c r="AK201" s="56"/>
      <c r="AM201" s="88"/>
      <c r="AO201" s="86"/>
      <c r="AP201" s="86"/>
      <c r="CB201" s="17"/>
      <c r="CC201" s="17"/>
    </row>
    <row r="202" spans="1:81" ht="12.75" customHeight="1" thickBot="1" x14ac:dyDescent="0.25">
      <c r="A202" s="117"/>
      <c r="B202" s="14" t="s">
        <v>24</v>
      </c>
      <c r="C202" s="105"/>
      <c r="D202" s="105"/>
      <c r="E202" s="230"/>
      <c r="F202" s="102">
        <f t="shared" si="1"/>
        <v>0</v>
      </c>
      <c r="G202" s="134" t="e">
        <f>NbreOvinsFemellesAuPré_3_6Mois</f>
        <v>#REF!</v>
      </c>
      <c r="H202" s="149"/>
      <c r="I202" s="51"/>
      <c r="J202" s="418"/>
      <c r="K202" s="419"/>
      <c r="L202" s="118"/>
      <c r="M202" s="2"/>
      <c r="N202" s="119"/>
      <c r="O202" s="96"/>
      <c r="P202" s="85"/>
      <c r="Q202" s="85"/>
      <c r="AJ202" s="56"/>
      <c r="AK202" s="56"/>
      <c r="AM202" s="88"/>
      <c r="AO202" s="86"/>
      <c r="AP202" s="86"/>
      <c r="CB202" s="17"/>
      <c r="CC202" s="17"/>
    </row>
    <row r="203" spans="1:81" ht="12.75" customHeight="1" x14ac:dyDescent="0.2">
      <c r="A203" s="117"/>
      <c r="B203" s="11" t="s">
        <v>25</v>
      </c>
      <c r="C203" s="104"/>
      <c r="D203" s="104"/>
      <c r="E203" s="4"/>
      <c r="F203" s="100">
        <f>C203-D203</f>
        <v>0</v>
      </c>
      <c r="G203" s="133" t="e">
        <f>NbreOvinsMâlesAuPré_6_12Mois</f>
        <v>#REF!</v>
      </c>
      <c r="H203" s="149"/>
      <c r="I203" s="51"/>
      <c r="J203" s="124"/>
      <c r="K203" s="51"/>
      <c r="L203" s="118"/>
      <c r="M203" s="159" t="str">
        <f>IF(M202=OUI,"Ration hivernale","")</f>
        <v/>
      </c>
      <c r="N203" s="119"/>
      <c r="O203" s="96"/>
      <c r="P203" s="85"/>
      <c r="Q203" s="85"/>
      <c r="AJ203" s="56"/>
      <c r="AK203" s="56"/>
      <c r="AM203" s="88"/>
      <c r="AO203" s="86"/>
      <c r="AP203" s="86"/>
      <c r="CB203" s="17"/>
      <c r="CC203" s="17"/>
    </row>
    <row r="204" spans="1:81" ht="12.75" customHeight="1" thickBot="1" x14ac:dyDescent="0.25">
      <c r="A204" s="117"/>
      <c r="B204" s="12" t="s">
        <v>135</v>
      </c>
      <c r="C204" s="105"/>
      <c r="D204" s="105"/>
      <c r="E204" s="230"/>
      <c r="F204" s="102">
        <f t="shared" si="1"/>
        <v>0</v>
      </c>
      <c r="G204" s="135" t="e">
        <f>NbreOvinsFemellesAuPré_6_12Mois</f>
        <v>#REF!</v>
      </c>
      <c r="H204" s="149"/>
      <c r="I204" s="51"/>
      <c r="J204" s="420" t="s">
        <v>871</v>
      </c>
      <c r="K204" s="421"/>
      <c r="L204" s="118"/>
      <c r="M204" s="98" t="s">
        <v>739</v>
      </c>
      <c r="N204" s="119"/>
      <c r="O204" s="96"/>
      <c r="P204" s="85"/>
      <c r="Q204" s="85"/>
      <c r="AJ204" s="56"/>
      <c r="AK204" s="56"/>
      <c r="AM204" s="88"/>
      <c r="AO204" s="86"/>
      <c r="AP204" s="86"/>
      <c r="CB204" s="17"/>
      <c r="CC204" s="17"/>
    </row>
    <row r="205" spans="1:81" ht="12.75" customHeight="1" x14ac:dyDescent="0.2">
      <c r="A205" s="117"/>
      <c r="B205" s="13" t="s">
        <v>136</v>
      </c>
      <c r="C205" s="104"/>
      <c r="D205" s="104"/>
      <c r="E205" s="4"/>
      <c r="F205" s="100">
        <f>C205-D205</f>
        <v>0</v>
      </c>
      <c r="G205" s="133" t="e">
        <f>SUM(NbreOvinsMâlesAuPré_12_18Mois+NbreOvinsMâlesAuPré_18_24Mois+NbreOvinsMâlesAuPré_24_36Mois+NbreOvinsMâlesAuPré_3AnsEtPlus)</f>
        <v>#REF!</v>
      </c>
      <c r="H205" s="149"/>
      <c r="I205" s="51"/>
      <c r="J205" s="418"/>
      <c r="K205" s="419"/>
      <c r="L205" s="118"/>
      <c r="M205" s="2"/>
      <c r="N205" s="119"/>
      <c r="O205" s="96"/>
      <c r="P205" s="85"/>
      <c r="Q205" s="85"/>
      <c r="AJ205" s="56"/>
      <c r="AK205" s="56"/>
      <c r="AM205" s="88"/>
      <c r="AO205" s="86"/>
      <c r="AP205" s="86"/>
      <c r="CB205" s="17"/>
      <c r="CC205" s="17"/>
    </row>
    <row r="206" spans="1:81" ht="12.75" customHeight="1" thickBot="1" x14ac:dyDescent="0.25">
      <c r="A206" s="117"/>
      <c r="B206" s="14" t="s">
        <v>137</v>
      </c>
      <c r="C206" s="105"/>
      <c r="D206" s="105"/>
      <c r="E206" s="230"/>
      <c r="F206" s="102">
        <f t="shared" si="1"/>
        <v>0</v>
      </c>
      <c r="G206" s="134" t="e">
        <f>SUM(NbreOvinsFemellesAuPré_12_18Mois+NbreOvinsFemellesAuPré_18_24Mois+NbreOvinsFemellesAuPré_24_36Mois+NbreOvinsFemellesAuPré_3AnsEtPlus)</f>
        <v>#REF!</v>
      </c>
      <c r="H206" s="149"/>
      <c r="I206" s="51"/>
      <c r="J206" s="51"/>
      <c r="K206" s="51"/>
      <c r="L206" s="118"/>
      <c r="M206" s="118"/>
      <c r="N206" s="119"/>
      <c r="O206" s="96"/>
      <c r="P206" s="85"/>
      <c r="Q206" s="85"/>
      <c r="AJ206" s="56"/>
      <c r="AK206" s="56"/>
      <c r="AM206" s="88"/>
      <c r="AO206" s="86"/>
      <c r="AP206" s="86"/>
      <c r="CB206" s="17"/>
      <c r="CC206" s="17"/>
    </row>
    <row r="207" spans="1:81" ht="12.75" customHeight="1" x14ac:dyDescent="0.2">
      <c r="A207" s="117"/>
      <c r="B207" s="51"/>
      <c r="C207" s="51"/>
      <c r="D207" s="51"/>
      <c r="E207" s="51"/>
      <c r="F207" s="51"/>
      <c r="G207" s="51"/>
      <c r="H207" s="51"/>
      <c r="I207" s="51"/>
      <c r="J207" s="426" t="s">
        <v>256</v>
      </c>
      <c r="K207" s="427"/>
      <c r="L207" s="118"/>
      <c r="M207" s="98" t="s">
        <v>872</v>
      </c>
      <c r="N207" s="40"/>
      <c r="O207" s="96"/>
      <c r="P207" s="85"/>
      <c r="Q207" s="85"/>
      <c r="AJ207" s="56"/>
      <c r="AK207" s="56"/>
      <c r="AM207" s="88"/>
      <c r="AO207" s="86"/>
      <c r="AP207" s="86"/>
      <c r="CB207" s="17"/>
      <c r="CC207" s="17"/>
    </row>
    <row r="208" spans="1:81" ht="12.75" customHeight="1" x14ac:dyDescent="0.2">
      <c r="A208" s="117"/>
      <c r="B208" s="51"/>
      <c r="C208" s="51"/>
      <c r="D208" s="51"/>
      <c r="E208" s="51"/>
      <c r="F208" s="51"/>
      <c r="G208" s="51"/>
      <c r="H208" s="51"/>
      <c r="I208" s="51"/>
      <c r="J208" s="418"/>
      <c r="K208" s="419"/>
      <c r="L208" s="118"/>
      <c r="M208" s="271"/>
      <c r="N208" s="40"/>
      <c r="O208" s="96"/>
      <c r="P208" s="85"/>
      <c r="Q208" s="85"/>
      <c r="AJ208" s="56"/>
      <c r="AK208" s="56"/>
      <c r="AM208" s="88"/>
      <c r="AO208" s="86"/>
      <c r="AP208" s="86"/>
      <c r="CB208" s="17"/>
      <c r="CC208" s="17"/>
    </row>
    <row r="209" spans="1:81" ht="12.75" customHeight="1" x14ac:dyDescent="0.2">
      <c r="A209" s="117"/>
      <c r="B209" s="51"/>
      <c r="C209" s="51"/>
      <c r="D209" s="51"/>
      <c r="E209" s="51"/>
      <c r="F209" s="51"/>
      <c r="G209" s="51"/>
      <c r="H209" s="51"/>
      <c r="I209" s="51"/>
      <c r="J209" s="51"/>
      <c r="K209" s="51"/>
      <c r="L209" s="50"/>
      <c r="M209" s="50"/>
      <c r="N209" s="40"/>
      <c r="O209" s="96"/>
      <c r="P209" s="85"/>
      <c r="Q209" s="85"/>
      <c r="AJ209" s="56"/>
      <c r="AK209" s="56"/>
      <c r="AM209" s="88"/>
      <c r="AO209" s="86"/>
      <c r="AP209" s="86"/>
      <c r="CB209" s="17"/>
      <c r="CC209" s="17"/>
    </row>
    <row r="210" spans="1:81" ht="12.75" customHeight="1" x14ac:dyDescent="0.2">
      <c r="A210" s="117"/>
      <c r="B210" s="51"/>
      <c r="C210" s="51"/>
      <c r="D210" s="51"/>
      <c r="E210" s="51"/>
      <c r="F210" s="51"/>
      <c r="G210" s="51"/>
      <c r="H210" s="51"/>
      <c r="I210" s="51"/>
      <c r="J210" s="81" t="s">
        <v>89</v>
      </c>
      <c r="K210" s="106"/>
      <c r="L210" s="53" t="str">
        <f>IF(OR(ChoixPaillageOvins="",ChoixPaillageOvins=NON),"","coût : "&amp;PrixPaille*84*SUM(#REF!)/1000&amp;"€/an (si pas de mise au pré l'été, sinon "&amp;(IF(ChoixOvinsPréHiver=OUI,#REF!*PrixPaille*(84-35)/1000&amp;"€/an)",#REF!*PrixPaille*(84-35)/1000&amp;"€/an)")))</f>
        <v/>
      </c>
      <c r="M210" s="50"/>
      <c r="N210" s="40"/>
      <c r="O210" s="96"/>
      <c r="P210" s="85"/>
      <c r="Q210" s="85"/>
      <c r="AJ210" s="56"/>
      <c r="AK210" s="56"/>
      <c r="AM210" s="88"/>
      <c r="AO210" s="86"/>
      <c r="AP210" s="86"/>
      <c r="CB210" s="17"/>
      <c r="CC210" s="17"/>
    </row>
    <row r="211" spans="1:81" ht="12.75" customHeight="1" x14ac:dyDescent="0.2">
      <c r="A211" s="117"/>
      <c r="B211" s="51"/>
      <c r="C211" s="51"/>
      <c r="D211" s="51"/>
      <c r="E211" s="51"/>
      <c r="F211" s="51"/>
      <c r="G211" s="51"/>
      <c r="H211" s="51"/>
      <c r="I211" s="51"/>
      <c r="J211" s="73" t="s">
        <v>88</v>
      </c>
      <c r="K211" s="106"/>
      <c r="L211" s="53" t="str">
        <f>IF(ChoixVaccinOvins=OUI,"coût : " &amp;SUM(TotalOvins)*PrixVaccinOvin &amp;"€/an","")</f>
        <v/>
      </c>
      <c r="M211" s="50"/>
      <c r="N211" s="40"/>
      <c r="O211" s="96"/>
      <c r="P211" s="85"/>
      <c r="Q211" s="85"/>
      <c r="AJ211" s="56"/>
      <c r="AK211" s="56"/>
      <c r="AM211" s="88"/>
      <c r="AO211" s="86"/>
      <c r="AP211" s="86"/>
      <c r="CB211" s="17"/>
      <c r="CC211" s="17"/>
    </row>
    <row r="212" spans="1:81" ht="12.75" customHeight="1" thickBot="1" x14ac:dyDescent="0.25">
      <c r="A212" s="125"/>
      <c r="B212" s="52"/>
      <c r="C212" s="52"/>
      <c r="D212" s="52"/>
      <c r="E212" s="52"/>
      <c r="F212" s="52"/>
      <c r="G212" s="52"/>
      <c r="H212" s="52"/>
      <c r="I212" s="52"/>
      <c r="J212" s="52"/>
      <c r="K212" s="52"/>
      <c r="L212" s="52"/>
      <c r="M212" s="52"/>
      <c r="N212" s="46"/>
      <c r="O212" s="96"/>
      <c r="P212" s="85"/>
      <c r="Q212" s="85"/>
      <c r="AJ212" s="56"/>
      <c r="AK212" s="56"/>
      <c r="AM212" s="88"/>
      <c r="AO212" s="86"/>
      <c r="AP212" s="86"/>
      <c r="CB212" s="17"/>
      <c r="CC212" s="17"/>
    </row>
    <row r="213" spans="1:81" ht="12.75" customHeight="1" thickBot="1" x14ac:dyDescent="0.25">
      <c r="A213" s="93" t="s">
        <v>354</v>
      </c>
      <c r="B213" s="94"/>
      <c r="C213" s="94"/>
      <c r="D213" s="94"/>
      <c r="E213" s="94"/>
      <c r="F213" s="94"/>
      <c r="G213" s="94"/>
      <c r="H213" s="94"/>
      <c r="I213" s="94"/>
      <c r="J213" s="94"/>
      <c r="K213" s="94"/>
      <c r="L213" s="94"/>
      <c r="M213" s="94"/>
      <c r="N213" s="95"/>
      <c r="O213" s="96"/>
      <c r="P213" s="85"/>
      <c r="Q213" s="85"/>
      <c r="AJ213" s="56"/>
      <c r="AK213" s="56"/>
      <c r="AM213" s="88"/>
      <c r="AO213" s="86"/>
      <c r="AP213" s="86"/>
      <c r="CB213" s="17"/>
      <c r="CC213" s="17"/>
    </row>
    <row r="214" spans="1:81" ht="12.75" customHeight="1" thickBot="1" x14ac:dyDescent="0.25">
      <c r="A214" s="97" t="str">
        <f>"Total : "&amp;SUM(TotalDaims)</f>
        <v>Total : 0</v>
      </c>
      <c r="B214" s="47"/>
      <c r="C214" s="33" t="s">
        <v>257</v>
      </c>
      <c r="D214" s="78" t="s">
        <v>829</v>
      </c>
      <c r="E214" s="78" t="s">
        <v>10</v>
      </c>
      <c r="F214" s="47"/>
      <c r="G214" s="47"/>
      <c r="H214" s="47"/>
      <c r="I214" s="47"/>
      <c r="J214" s="422" t="s">
        <v>255</v>
      </c>
      <c r="K214" s="422"/>
      <c r="L214" s="47"/>
      <c r="M214" s="47"/>
      <c r="N214" s="43"/>
      <c r="O214" s="96"/>
      <c r="P214" s="85"/>
      <c r="Q214" s="85"/>
      <c r="AJ214" s="56"/>
      <c r="AK214" s="56"/>
      <c r="AM214" s="88"/>
      <c r="AO214" s="86"/>
      <c r="AP214" s="86"/>
      <c r="CB214" s="17"/>
      <c r="CC214" s="17"/>
    </row>
    <row r="215" spans="1:81" ht="12.75" customHeight="1" x14ac:dyDescent="0.2">
      <c r="A215" s="97"/>
      <c r="B215" s="26" t="s">
        <v>355</v>
      </c>
      <c r="C215" s="121"/>
      <c r="D215" s="4"/>
      <c r="E215" s="100" t="e">
        <f>NbreDaimsMâlesAuPré_0_3Mois</f>
        <v>#REF!</v>
      </c>
      <c r="F215" s="47"/>
      <c r="G215" s="47"/>
      <c r="H215" s="47"/>
      <c r="I215" s="47"/>
      <c r="J215" s="418"/>
      <c r="K215" s="419"/>
      <c r="L215" s="47"/>
      <c r="M215" s="47"/>
      <c r="N215" s="43"/>
      <c r="O215" s="96"/>
      <c r="P215" s="85"/>
      <c r="Q215" s="85"/>
      <c r="AJ215" s="56"/>
      <c r="AK215" s="56"/>
      <c r="AM215" s="88"/>
      <c r="AO215" s="86"/>
      <c r="AP215" s="86"/>
      <c r="CB215" s="17"/>
      <c r="CC215" s="17"/>
    </row>
    <row r="216" spans="1:81" ht="12.75" customHeight="1" thickBot="1" x14ac:dyDescent="0.25">
      <c r="A216" s="97"/>
      <c r="B216" s="12" t="s">
        <v>356</v>
      </c>
      <c r="C216" s="122"/>
      <c r="D216" s="230"/>
      <c r="E216" s="102" t="e">
        <f>NbreDaimsFemellesAuPré_0_3Mois</f>
        <v>#REF!</v>
      </c>
      <c r="F216" s="47"/>
      <c r="G216" s="47"/>
      <c r="H216" s="47"/>
      <c r="I216" s="47"/>
      <c r="J216" s="47"/>
      <c r="K216" s="47"/>
      <c r="L216" s="47"/>
      <c r="M216" s="47"/>
      <c r="N216" s="43"/>
      <c r="O216" s="96"/>
      <c r="P216" s="85"/>
      <c r="Q216" s="85"/>
      <c r="AJ216" s="56"/>
      <c r="AK216" s="56"/>
      <c r="AM216" s="88"/>
      <c r="AO216" s="86"/>
      <c r="AP216" s="86"/>
      <c r="CB216" s="17"/>
      <c r="CC216" s="17"/>
    </row>
    <row r="217" spans="1:81" ht="12.75" customHeight="1" x14ac:dyDescent="0.2">
      <c r="A217" s="97"/>
      <c r="B217" s="27" t="s">
        <v>357</v>
      </c>
      <c r="C217" s="123"/>
      <c r="D217" s="4"/>
      <c r="E217" s="100" t="e">
        <f>NbreDaimsMâlesAuPré_3_6Mois</f>
        <v>#REF!</v>
      </c>
      <c r="F217" s="47"/>
      <c r="G217" s="47"/>
      <c r="H217" s="47"/>
      <c r="I217" s="47"/>
      <c r="J217" s="420" t="s">
        <v>453</v>
      </c>
      <c r="K217" s="421"/>
      <c r="L217" s="47"/>
      <c r="M217" s="47"/>
      <c r="N217" s="43"/>
      <c r="O217" s="96"/>
      <c r="P217" s="85"/>
      <c r="Q217" s="85"/>
      <c r="AJ217" s="56"/>
      <c r="AK217" s="56"/>
      <c r="AM217" s="88"/>
      <c r="AO217" s="86"/>
      <c r="AP217" s="86"/>
      <c r="CB217" s="17"/>
      <c r="CC217" s="17"/>
    </row>
    <row r="218" spans="1:81" ht="12.75" customHeight="1" thickBot="1" x14ac:dyDescent="0.25">
      <c r="A218" s="97"/>
      <c r="B218" s="14" t="s">
        <v>358</v>
      </c>
      <c r="C218" s="5"/>
      <c r="D218" s="230"/>
      <c r="E218" s="102" t="e">
        <f>NbreDaimsFemellesAuPré_3_6Mois</f>
        <v>#REF!</v>
      </c>
      <c r="F218" s="47"/>
      <c r="G218" s="47"/>
      <c r="H218" s="47"/>
      <c r="I218" s="47"/>
      <c r="J218" s="418"/>
      <c r="K218" s="419"/>
      <c r="L218" s="47"/>
      <c r="M218" s="47"/>
      <c r="N218" s="43"/>
      <c r="O218" s="96"/>
      <c r="P218" s="85"/>
      <c r="Q218" s="85"/>
      <c r="AJ218" s="56"/>
      <c r="AK218" s="56"/>
      <c r="AM218" s="88"/>
      <c r="AO218" s="86"/>
      <c r="AP218" s="86"/>
      <c r="CB218" s="17"/>
      <c r="CC218" s="17"/>
    </row>
    <row r="219" spans="1:81" ht="12.75" customHeight="1" x14ac:dyDescent="0.2">
      <c r="A219" s="97"/>
      <c r="B219" s="28" t="s">
        <v>359</v>
      </c>
      <c r="C219" s="121"/>
      <c r="D219" s="4"/>
      <c r="E219" s="100" t="e">
        <f>NbreDaimsMâlesAuPré_6_12Mois</f>
        <v>#REF!</v>
      </c>
      <c r="F219" s="47"/>
      <c r="G219" s="47"/>
      <c r="H219" s="47"/>
      <c r="I219" s="47"/>
      <c r="J219" s="103"/>
      <c r="K219" s="47"/>
      <c r="L219" s="47"/>
      <c r="M219" s="47"/>
      <c r="N219" s="43"/>
      <c r="O219" s="96"/>
      <c r="P219" s="85"/>
      <c r="Q219" s="85"/>
      <c r="AJ219" s="56"/>
      <c r="AK219" s="56"/>
      <c r="AM219" s="88"/>
      <c r="AO219" s="86"/>
      <c r="AP219" s="86"/>
      <c r="CB219" s="17"/>
      <c r="CC219" s="17"/>
    </row>
    <row r="220" spans="1:81" ht="12.75" customHeight="1" thickBot="1" x14ac:dyDescent="0.25">
      <c r="A220" s="97"/>
      <c r="B220" s="12" t="s">
        <v>360</v>
      </c>
      <c r="C220" s="122"/>
      <c r="D220" s="230"/>
      <c r="E220" s="102" t="e">
        <f>NbreDaimsFemellesAuPré_6_12Mois</f>
        <v>#REF!</v>
      </c>
      <c r="F220" s="47"/>
      <c r="G220" s="47"/>
      <c r="H220" s="47"/>
      <c r="I220" s="47"/>
      <c r="J220" s="420" t="s">
        <v>872</v>
      </c>
      <c r="K220" s="421"/>
      <c r="L220" s="47"/>
      <c r="M220" s="47"/>
      <c r="N220" s="43"/>
      <c r="O220" s="96"/>
      <c r="P220" s="85"/>
      <c r="Q220" s="85"/>
      <c r="AJ220" s="56"/>
      <c r="AK220" s="56"/>
      <c r="AM220" s="88"/>
      <c r="AO220" s="86"/>
      <c r="AP220" s="86"/>
      <c r="CB220" s="17"/>
      <c r="CC220" s="17"/>
    </row>
    <row r="221" spans="1:81" ht="12.75" customHeight="1" x14ac:dyDescent="0.2">
      <c r="A221" s="97"/>
      <c r="B221" s="27" t="s">
        <v>361</v>
      </c>
      <c r="C221" s="123"/>
      <c r="D221" s="4"/>
      <c r="E221" s="100" t="e">
        <f>NbreDaimsMâlesAuPré_12_18Mois</f>
        <v>#REF!</v>
      </c>
      <c r="F221" s="47"/>
      <c r="G221" s="47"/>
      <c r="H221" s="47"/>
      <c r="I221" s="47"/>
      <c r="J221" s="418" t="s">
        <v>830</v>
      </c>
      <c r="K221" s="419"/>
      <c r="L221" s="47"/>
      <c r="M221" s="47"/>
      <c r="N221" s="43"/>
      <c r="O221" s="96"/>
      <c r="P221" s="85"/>
      <c r="Q221" s="85"/>
      <c r="R221" s="147"/>
      <c r="AJ221" s="56"/>
      <c r="AK221" s="56"/>
      <c r="AM221" s="88"/>
      <c r="AO221" s="86"/>
      <c r="AP221" s="86"/>
      <c r="CB221" s="17"/>
      <c r="CC221" s="17"/>
    </row>
    <row r="222" spans="1:81" ht="12.75" customHeight="1" thickBot="1" x14ac:dyDescent="0.25">
      <c r="A222" s="97"/>
      <c r="B222" s="14" t="s">
        <v>362</v>
      </c>
      <c r="C222" s="5"/>
      <c r="D222" s="230"/>
      <c r="E222" s="102" t="e">
        <f>NbreDaimsFemellesAuPré_12_18Mois</f>
        <v>#REF!</v>
      </c>
      <c r="F222" s="47"/>
      <c r="G222" s="47"/>
      <c r="H222" s="47"/>
      <c r="I222" s="47"/>
      <c r="J222" s="103"/>
      <c r="K222" s="47"/>
      <c r="L222" s="47"/>
      <c r="M222" s="47"/>
      <c r="N222" s="43"/>
      <c r="O222" s="96"/>
      <c r="P222" s="85"/>
      <c r="Q222" s="85"/>
      <c r="R222" s="147"/>
      <c r="AJ222" s="56"/>
      <c r="AK222" s="56"/>
      <c r="AM222" s="88"/>
      <c r="AO222" s="86"/>
      <c r="AP222" s="86"/>
      <c r="CB222" s="17"/>
      <c r="CC222" s="17"/>
    </row>
    <row r="223" spans="1:81" ht="12.75" customHeight="1" x14ac:dyDescent="0.2">
      <c r="A223" s="97"/>
      <c r="B223" s="28" t="s">
        <v>363</v>
      </c>
      <c r="C223" s="121"/>
      <c r="D223" s="4"/>
      <c r="E223" s="100" t="e">
        <f>NbreDaimsMâlesAuPré_18_24Mois</f>
        <v>#REF!</v>
      </c>
      <c r="F223" s="47"/>
      <c r="G223" s="47"/>
      <c r="H223" s="47"/>
      <c r="I223" s="47"/>
      <c r="J223" s="426" t="s">
        <v>256</v>
      </c>
      <c r="K223" s="427"/>
      <c r="L223" s="47"/>
      <c r="M223" s="47"/>
      <c r="N223" s="43"/>
      <c r="O223" s="96"/>
      <c r="P223" s="85"/>
      <c r="Q223" s="85"/>
      <c r="R223" s="147"/>
      <c r="AJ223" s="56"/>
      <c r="AK223" s="56"/>
      <c r="AM223" s="88"/>
      <c r="AO223" s="86"/>
      <c r="AP223" s="86"/>
      <c r="CB223" s="17"/>
      <c r="CC223" s="17"/>
    </row>
    <row r="224" spans="1:81" ht="13.5" thickBot="1" x14ac:dyDescent="0.25">
      <c r="A224" s="97"/>
      <c r="B224" s="29" t="s">
        <v>364</v>
      </c>
      <c r="C224" s="122"/>
      <c r="D224" s="230"/>
      <c r="E224" s="102" t="e">
        <f>NbreDaimsFemellesAuPré_18_24Mois</f>
        <v>#REF!</v>
      </c>
      <c r="F224" s="47"/>
      <c r="G224" s="47"/>
      <c r="H224" s="47"/>
      <c r="I224" s="47"/>
      <c r="J224" s="418"/>
      <c r="K224" s="419"/>
      <c r="L224" s="47"/>
      <c r="M224" s="47"/>
      <c r="N224" s="43"/>
      <c r="O224" s="17"/>
      <c r="P224" s="85"/>
      <c r="Q224" s="85"/>
      <c r="R224" s="147"/>
      <c r="AJ224" s="56"/>
      <c r="AK224" s="56"/>
      <c r="AM224" s="88"/>
      <c r="AO224" s="86"/>
      <c r="AP224" s="86"/>
      <c r="CB224" s="17"/>
      <c r="CC224" s="17"/>
    </row>
    <row r="225" spans="1:81" x14ac:dyDescent="0.2">
      <c r="A225" s="97"/>
      <c r="B225" s="27" t="s">
        <v>365</v>
      </c>
      <c r="C225" s="123"/>
      <c r="D225" s="4"/>
      <c r="E225" s="100" t="e">
        <f>NbreDaimsMâlesAuPré_24_36Mois</f>
        <v>#REF!</v>
      </c>
      <c r="F225" s="47"/>
      <c r="G225" s="47"/>
      <c r="H225" s="47"/>
      <c r="I225" s="47"/>
      <c r="J225" s="418"/>
      <c r="K225" s="419"/>
      <c r="L225" s="47"/>
      <c r="M225" s="47"/>
      <c r="N225" s="43"/>
      <c r="O225" s="17"/>
      <c r="P225" s="85"/>
      <c r="Q225" s="85"/>
      <c r="R225" s="147"/>
      <c r="AJ225" s="56"/>
      <c r="AK225" s="56"/>
      <c r="AM225" s="88"/>
      <c r="AO225" s="86"/>
      <c r="AP225" s="86"/>
      <c r="CB225" s="17"/>
      <c r="CC225" s="17"/>
    </row>
    <row r="226" spans="1:81" ht="13.5" thickBot="1" x14ac:dyDescent="0.25">
      <c r="A226" s="97"/>
      <c r="B226" s="14" t="s">
        <v>366</v>
      </c>
      <c r="C226" s="5"/>
      <c r="D226" s="230"/>
      <c r="E226" s="102" t="e">
        <f>NbreDaimsFemellesAuPré_24_36Mois</f>
        <v>#REF!</v>
      </c>
      <c r="F226" s="47"/>
      <c r="G226" s="47"/>
      <c r="H226" s="47"/>
      <c r="I226" s="47"/>
      <c r="J226" s="47"/>
      <c r="K226" s="47"/>
      <c r="L226" s="47"/>
      <c r="M226" s="47"/>
      <c r="N226" s="43"/>
      <c r="O226" s="17"/>
      <c r="P226" s="85"/>
      <c r="Q226" s="85"/>
      <c r="R226" s="147"/>
      <c r="AJ226" s="56"/>
      <c r="AK226" s="56"/>
      <c r="AM226" s="88"/>
      <c r="AO226" s="86"/>
      <c r="AP226" s="86"/>
      <c r="CB226" s="17"/>
      <c r="CC226" s="17"/>
    </row>
    <row r="227" spans="1:81" x14ac:dyDescent="0.2">
      <c r="A227" s="97"/>
      <c r="B227" s="28" t="s">
        <v>367</v>
      </c>
      <c r="C227" s="121"/>
      <c r="D227" s="4"/>
      <c r="E227" s="100" t="e">
        <f>NbreDaimsMâlesAuPré_3AnsEtPlus</f>
        <v>#REF!</v>
      </c>
      <c r="F227" s="47"/>
      <c r="G227" s="47"/>
      <c r="H227" s="47"/>
      <c r="I227" s="47"/>
      <c r="J227" s="79" t="s">
        <v>88</v>
      </c>
      <c r="K227" s="106"/>
      <c r="L227" s="47" t="str">
        <f>IF(ChoixVaccinDaims=OUI,"coût : " &amp;SUM(TotalDaims)*PrixVaccinDaim &amp;"€/an","")</f>
        <v/>
      </c>
      <c r="M227" s="47"/>
      <c r="N227" s="43"/>
      <c r="O227" s="17"/>
      <c r="P227" s="85"/>
      <c r="Q227" s="85"/>
      <c r="R227" s="147"/>
      <c r="AJ227" s="56"/>
      <c r="AK227" s="56"/>
      <c r="AM227" s="88"/>
      <c r="AO227" s="86"/>
      <c r="AP227" s="86"/>
      <c r="CB227" s="17"/>
      <c r="CC227" s="17"/>
    </row>
    <row r="228" spans="1:81" ht="13.5" thickBot="1" x14ac:dyDescent="0.25">
      <c r="A228" s="97"/>
      <c r="B228" s="25" t="s">
        <v>368</v>
      </c>
      <c r="C228" s="5"/>
      <c r="D228" s="230"/>
      <c r="E228" s="102" t="e">
        <f>NbreDaimsFemellesAuPré_3AnsEtPlus</f>
        <v>#REF!</v>
      </c>
      <c r="F228" s="47"/>
      <c r="G228" s="47"/>
      <c r="H228" s="47"/>
      <c r="I228" s="47"/>
      <c r="J228" s="47"/>
      <c r="K228" s="47"/>
      <c r="L228" s="47"/>
      <c r="M228" s="47"/>
      <c r="N228" s="43"/>
      <c r="O228" s="17"/>
      <c r="P228" s="85"/>
      <c r="Q228" s="85"/>
      <c r="R228" s="147"/>
      <c r="AJ228" s="56"/>
      <c r="AK228" s="56"/>
      <c r="AM228" s="88"/>
      <c r="AO228" s="86"/>
      <c r="AP228" s="86"/>
      <c r="CB228" s="17"/>
      <c r="CC228" s="17"/>
    </row>
    <row r="229" spans="1:81" hidden="1" x14ac:dyDescent="0.2">
      <c r="A229" s="97"/>
      <c r="B229" s="47"/>
      <c r="C229" s="47"/>
      <c r="D229" s="47"/>
      <c r="E229" s="47"/>
      <c r="F229" s="47"/>
      <c r="G229" s="47"/>
      <c r="H229" s="47"/>
      <c r="I229" s="47"/>
      <c r="J229" s="47"/>
      <c r="K229" s="47"/>
      <c r="L229" s="47"/>
      <c r="M229" s="47"/>
      <c r="N229" s="43"/>
      <c r="O229" s="17"/>
      <c r="P229" s="85"/>
      <c r="Q229" s="85"/>
      <c r="R229" s="147"/>
      <c r="AJ229" s="56"/>
      <c r="AK229" s="56"/>
      <c r="AM229" s="88"/>
      <c r="AO229" s="86"/>
      <c r="AP229" s="86"/>
      <c r="CB229" s="17"/>
      <c r="CC229" s="17"/>
    </row>
    <row r="230" spans="1:81" hidden="1" x14ac:dyDescent="0.2">
      <c r="A230" s="97"/>
      <c r="B230" s="47"/>
      <c r="C230" s="47"/>
      <c r="D230" s="47"/>
      <c r="E230" s="47"/>
      <c r="F230" s="47"/>
      <c r="G230" s="47"/>
      <c r="H230" s="47"/>
      <c r="I230" s="47"/>
      <c r="J230" s="47"/>
      <c r="K230" s="47"/>
      <c r="L230" s="47"/>
      <c r="M230" s="47"/>
      <c r="N230" s="43"/>
    </row>
    <row r="231" spans="1:81" hidden="1" x14ac:dyDescent="0.2">
      <c r="A231" s="97"/>
      <c r="B231" s="47"/>
      <c r="C231" s="47"/>
      <c r="D231" s="47"/>
      <c r="E231" s="47"/>
      <c r="F231" s="47"/>
      <c r="G231" s="47"/>
      <c r="H231" s="47"/>
      <c r="I231" s="47"/>
      <c r="J231" s="47"/>
      <c r="K231" s="47"/>
      <c r="L231" s="47"/>
      <c r="M231" s="47"/>
      <c r="N231" s="43"/>
    </row>
    <row r="232" spans="1:81" ht="13.5" thickBot="1" x14ac:dyDescent="0.25">
      <c r="A232" s="107"/>
      <c r="B232" s="109"/>
      <c r="C232" s="109"/>
      <c r="D232" s="109"/>
      <c r="E232" s="109"/>
      <c r="F232" s="109"/>
      <c r="G232" s="109"/>
      <c r="H232" s="109"/>
      <c r="I232" s="109"/>
      <c r="J232" s="109"/>
      <c r="K232" s="109"/>
      <c r="L232" s="109"/>
      <c r="M232" s="109"/>
      <c r="N232" s="110"/>
    </row>
    <row r="233" spans="1:81" ht="13.5" thickBot="1" x14ac:dyDescent="0.25">
      <c r="A233" s="111" t="s">
        <v>372</v>
      </c>
      <c r="B233" s="112"/>
      <c r="C233" s="112"/>
      <c r="D233" s="112"/>
      <c r="E233" s="112"/>
      <c r="F233" s="112"/>
      <c r="G233" s="112"/>
      <c r="H233" s="112"/>
      <c r="I233" s="112"/>
      <c r="J233" s="112"/>
      <c r="K233" s="112"/>
      <c r="L233" s="112"/>
      <c r="M233" s="112"/>
      <c r="N233" s="156"/>
    </row>
    <row r="234" spans="1:81" ht="13.5" thickBot="1" x14ac:dyDescent="0.25">
      <c r="A234" s="117" t="str">
        <f>"Total : "&amp;SUM(TotalChevauxSelle)</f>
        <v>Total : 0</v>
      </c>
      <c r="B234" s="51"/>
      <c r="C234" s="6" t="s">
        <v>11</v>
      </c>
      <c r="D234" s="78" t="s">
        <v>829</v>
      </c>
      <c r="E234" s="6" t="s">
        <v>10</v>
      </c>
      <c r="F234" s="51"/>
      <c r="G234" s="51"/>
      <c r="H234" s="51"/>
      <c r="I234" s="51"/>
      <c r="J234" s="420" t="s">
        <v>695</v>
      </c>
      <c r="K234" s="421"/>
      <c r="L234" s="51"/>
      <c r="M234" s="98" t="s">
        <v>803</v>
      </c>
      <c r="N234" s="44"/>
    </row>
    <row r="235" spans="1:81" x14ac:dyDescent="0.2">
      <c r="A235" s="117"/>
      <c r="B235" s="20" t="s">
        <v>373</v>
      </c>
      <c r="C235" s="160"/>
      <c r="D235" s="4"/>
      <c r="E235" s="100" t="e">
        <f>SUM(NbreChevauxSelleMâlesAuPré_0_3Mois+NbreChevauxSelleMâlesAuPré_3_6Mois+NbreChevauxSelleMâlesAuPré_6_12Mois)</f>
        <v>#REF!</v>
      </c>
      <c r="F235" s="51"/>
      <c r="G235" s="51"/>
      <c r="H235" s="51"/>
      <c r="I235" s="51"/>
      <c r="J235" s="418"/>
      <c r="K235" s="419"/>
      <c r="L235" s="51"/>
      <c r="M235" s="226"/>
      <c r="N235" s="44"/>
    </row>
    <row r="236" spans="1:81" ht="13.5" thickBot="1" x14ac:dyDescent="0.25">
      <c r="A236" s="117"/>
      <c r="B236" s="21" t="s">
        <v>374</v>
      </c>
      <c r="C236" s="101"/>
      <c r="D236" s="230"/>
      <c r="E236" s="102" t="e">
        <f>SUM(NbreChevauxSelleFemellesAuPré_0_3Mois+NbreChevauxSelleFemellesAuPré_3_6Mois+NbreChevauxSelleFemellesAuPré_6_12Mois)</f>
        <v>#REF!</v>
      </c>
      <c r="F236" s="51"/>
      <c r="G236" s="51"/>
      <c r="H236" s="51"/>
      <c r="I236" s="51"/>
      <c r="J236" s="124" t="e">
        <f>RationDansPréChevauxSelle</f>
        <v>#REF!</v>
      </c>
      <c r="K236" s="51"/>
      <c r="L236" s="51"/>
      <c r="M236" s="124" t="e">
        <f>RationDansEcurieChevauxSelle</f>
        <v>#REF!</v>
      </c>
      <c r="N236" s="44"/>
    </row>
    <row r="237" spans="1:81" x14ac:dyDescent="0.2">
      <c r="A237" s="117"/>
      <c r="B237" s="22" t="s">
        <v>375</v>
      </c>
      <c r="C237" s="161"/>
      <c r="D237" s="4"/>
      <c r="E237" s="100" t="e">
        <f>SUM(NbreChevauxSelleMâlesAuPré_12_18Mois+NbreChevauxSelleMâlesAuPré_18_24Mois)</f>
        <v>#REF!</v>
      </c>
      <c r="F237" s="51"/>
      <c r="G237" s="51"/>
      <c r="H237" s="51"/>
      <c r="I237" s="51"/>
      <c r="J237" s="420" t="s">
        <v>805</v>
      </c>
      <c r="K237" s="421"/>
      <c r="L237" s="51"/>
      <c r="M237" s="98" t="s">
        <v>739</v>
      </c>
      <c r="N237" s="44"/>
    </row>
    <row r="238" spans="1:81" ht="13.5" thickBot="1" x14ac:dyDescent="0.25">
      <c r="A238" s="117"/>
      <c r="B238" s="23" t="s">
        <v>378</v>
      </c>
      <c r="C238" s="105"/>
      <c r="D238" s="230"/>
      <c r="E238" s="102" t="e">
        <f>SUM(NbreChevauxSelleFemellesAuPré_12_18Mois+NbreChevauxSelleFemellesAuPré_18_24Mois)</f>
        <v>#REF!</v>
      </c>
      <c r="F238" s="51"/>
      <c r="G238" s="51"/>
      <c r="H238" s="51"/>
      <c r="I238" s="51"/>
      <c r="J238" s="418"/>
      <c r="K238" s="419"/>
      <c r="L238" s="51"/>
      <c r="M238" s="227"/>
      <c r="N238" s="44"/>
    </row>
    <row r="239" spans="1:81" x14ac:dyDescent="0.2">
      <c r="A239" s="117"/>
      <c r="B239" s="24" t="s">
        <v>376</v>
      </c>
      <c r="C239" s="160"/>
      <c r="D239" s="4"/>
      <c r="E239" s="100" t="e">
        <f>NbreChevauxSelleMâlesAuPré_24_36Mois</f>
        <v>#REF!</v>
      </c>
      <c r="F239" s="51"/>
      <c r="G239" s="51"/>
      <c r="H239" s="51"/>
      <c r="I239" s="51"/>
      <c r="J239" s="51"/>
      <c r="K239" s="51"/>
      <c r="L239" s="51"/>
      <c r="M239" s="51"/>
      <c r="N239" s="44"/>
    </row>
    <row r="240" spans="1:81" ht="13.5" thickBot="1" x14ac:dyDescent="0.25">
      <c r="A240" s="117"/>
      <c r="B240" s="21" t="s">
        <v>377</v>
      </c>
      <c r="C240" s="101"/>
      <c r="D240" s="230"/>
      <c r="E240" s="102" t="e">
        <f>NbreChevauxSelleFemellesAuPré_24_36Mois</f>
        <v>#REF!</v>
      </c>
      <c r="F240" s="51"/>
      <c r="G240" s="51"/>
      <c r="H240" s="51"/>
      <c r="I240" s="51"/>
      <c r="J240" s="420" t="s">
        <v>871</v>
      </c>
      <c r="K240" s="421"/>
      <c r="L240" s="51"/>
      <c r="M240" s="98" t="s">
        <v>872</v>
      </c>
      <c r="N240" s="44"/>
    </row>
    <row r="241" spans="1:14" x14ac:dyDescent="0.2">
      <c r="A241" s="117"/>
      <c r="B241" s="22" t="s">
        <v>379</v>
      </c>
      <c r="C241" s="161"/>
      <c r="D241" s="4"/>
      <c r="E241" s="100" t="e">
        <f>NbreChevauxSelleMâlesAuPré_3AnsEtPlus</f>
        <v>#REF!</v>
      </c>
      <c r="F241" s="51"/>
      <c r="G241" s="51"/>
      <c r="H241" s="51"/>
      <c r="I241" s="51"/>
      <c r="J241" s="418"/>
      <c r="K241" s="419"/>
      <c r="L241" s="51"/>
      <c r="M241" s="271"/>
      <c r="N241" s="44"/>
    </row>
    <row r="242" spans="1:14" ht="13.5" thickBot="1" x14ac:dyDescent="0.25">
      <c r="A242" s="117"/>
      <c r="B242" s="23" t="s">
        <v>380</v>
      </c>
      <c r="C242" s="105"/>
      <c r="D242" s="230"/>
      <c r="E242" s="102" t="e">
        <f>NbreChevauxSelleFemellesAuPré_3AnsEtPlus</f>
        <v>#REF!</v>
      </c>
      <c r="F242" s="51"/>
      <c r="G242" s="51"/>
      <c r="H242" s="51"/>
      <c r="I242" s="51"/>
      <c r="J242" s="51"/>
      <c r="K242" s="51"/>
      <c r="L242" s="51"/>
      <c r="M242" s="51"/>
      <c r="N242" s="44"/>
    </row>
    <row r="243" spans="1:14" x14ac:dyDescent="0.2">
      <c r="A243" s="117"/>
      <c r="B243" s="51"/>
      <c r="C243" s="51"/>
      <c r="D243" s="51"/>
      <c r="E243" s="51"/>
      <c r="F243" s="51"/>
      <c r="G243" s="51"/>
      <c r="H243" s="51"/>
      <c r="I243" s="51"/>
      <c r="J243" s="18" t="s">
        <v>89</v>
      </c>
      <c r="K243" s="106"/>
      <c r="L243" s="51" t="str">
        <f>IF(ChoixChevauxSellePréHiver=OUI,"coût : 0€/an",IF(OR(ChoixPaillageChevauxSelle="",ChoixPaillageChevauxSelle=NON),"","coût : "&amp;PrixPaille*84*SUM(TotalChevauxSelle)/1000&amp;"€/an (si pas de mise au pré l'été, sinon "&amp;(IF(ChoixChevauxSellePréHiver=OUI,"coût : 0€/an",PrixPaille*(84-35)*SUM(TotalChevauxSelle)/1000&amp;"€/an)"))))</f>
        <v/>
      </c>
      <c r="M243" s="51"/>
      <c r="N243" s="44"/>
    </row>
    <row r="244" spans="1:14" x14ac:dyDescent="0.2">
      <c r="A244" s="117"/>
      <c r="B244" s="51"/>
      <c r="C244" s="51"/>
      <c r="D244" s="51"/>
      <c r="E244" s="51"/>
      <c r="F244" s="51"/>
      <c r="G244" s="51"/>
      <c r="H244" s="51"/>
      <c r="I244" s="51"/>
      <c r="J244" s="19" t="s">
        <v>88</v>
      </c>
      <c r="K244" s="106"/>
      <c r="L244" s="51" t="str">
        <f>IF(ChoixVaccinChevauxSelle=OUI,"coût : " &amp;SUM(TotalChevauxSelle)*PrixVaccinChevauxSelle &amp;"€/an","")</f>
        <v/>
      </c>
      <c r="M244" s="51"/>
      <c r="N244" s="44"/>
    </row>
    <row r="245" spans="1:14" hidden="1" x14ac:dyDescent="0.2">
      <c r="A245" s="117"/>
      <c r="B245" s="51"/>
      <c r="C245" s="51"/>
      <c r="D245" s="51"/>
      <c r="E245" s="51"/>
      <c r="F245" s="51"/>
      <c r="G245" s="51"/>
      <c r="H245" s="51"/>
      <c r="I245" s="51"/>
      <c r="J245" s="51"/>
      <c r="K245" s="51"/>
      <c r="L245" s="51"/>
      <c r="M245" s="51"/>
      <c r="N245" s="44"/>
    </row>
    <row r="246" spans="1:14" ht="13.5" thickBot="1" x14ac:dyDescent="0.25">
      <c r="A246" s="125"/>
      <c r="B246" s="52"/>
      <c r="C246" s="52"/>
      <c r="D246" s="52"/>
      <c r="E246" s="52"/>
      <c r="F246" s="52"/>
      <c r="G246" s="52"/>
      <c r="H246" s="52"/>
      <c r="I246" s="52"/>
      <c r="J246" s="52"/>
      <c r="K246" s="52"/>
      <c r="L246" s="52"/>
      <c r="M246" s="52"/>
      <c r="N246" s="46"/>
    </row>
    <row r="247" spans="1:14" ht="13.5" thickBot="1" x14ac:dyDescent="0.25">
      <c r="A247" s="93" t="s">
        <v>593</v>
      </c>
      <c r="B247" s="94"/>
      <c r="C247" s="94"/>
      <c r="D247" s="94"/>
      <c r="E247" s="94"/>
      <c r="F247" s="94"/>
      <c r="G247" s="94"/>
      <c r="H247" s="94"/>
      <c r="I247" s="94"/>
      <c r="J247" s="94"/>
      <c r="K247" s="94"/>
      <c r="L247" s="94"/>
      <c r="M247" s="94"/>
      <c r="N247" s="95"/>
    </row>
    <row r="248" spans="1:14" ht="13.5" thickBot="1" x14ac:dyDescent="0.25">
      <c r="A248" s="97" t="str">
        <f>"Total : "&amp;SUM(TotalChevauxTrait)</f>
        <v>Total : 0</v>
      </c>
      <c r="B248" s="47"/>
      <c r="C248" s="6" t="s">
        <v>11</v>
      </c>
      <c r="D248" s="78" t="s">
        <v>829</v>
      </c>
      <c r="E248" s="6" t="s">
        <v>10</v>
      </c>
      <c r="F248" s="47"/>
      <c r="G248" s="47"/>
      <c r="H248" s="47"/>
      <c r="I248" s="47"/>
      <c r="J248" s="420" t="s">
        <v>696</v>
      </c>
      <c r="K248" s="421"/>
      <c r="L248" s="47"/>
      <c r="M248" s="98" t="s">
        <v>803</v>
      </c>
      <c r="N248" s="43"/>
    </row>
    <row r="249" spans="1:14" x14ac:dyDescent="0.2">
      <c r="A249" s="97"/>
      <c r="B249" s="20" t="s">
        <v>373</v>
      </c>
      <c r="C249" s="160"/>
      <c r="D249" s="4"/>
      <c r="E249" s="100" t="e">
        <f>SUM(NbreChevauxTraitMâlesAuPré_0_3Mois+NbreChevauxTraitMâlesAuPré_3_6Mois+NbreChevauxTraitMâlesAuPré_6_12Mois)</f>
        <v>#REF!</v>
      </c>
      <c r="F249" s="47"/>
      <c r="G249" s="47"/>
      <c r="H249" s="47"/>
      <c r="I249" s="47"/>
      <c r="J249" s="418"/>
      <c r="K249" s="419"/>
      <c r="L249" s="47"/>
      <c r="M249" s="226"/>
      <c r="N249" s="43"/>
    </row>
    <row r="250" spans="1:14" ht="13.5" thickBot="1" x14ac:dyDescent="0.25">
      <c r="A250" s="97"/>
      <c r="B250" s="21" t="s">
        <v>374</v>
      </c>
      <c r="C250" s="101"/>
      <c r="D250" s="230"/>
      <c r="E250" s="102" t="e">
        <f>SUM(NbreChevauxTraitFemellesAuPré_0_3Mois+NbreChevauxTraitFemellesAuPré_3_6Mois+NbreChevauxTraitFemellesAuPré_6_12Mois)</f>
        <v>#REF!</v>
      </c>
      <c r="F250" s="47"/>
      <c r="G250" s="47"/>
      <c r="H250" s="47"/>
      <c r="I250" s="47"/>
      <c r="J250" s="103" t="e">
        <f>RationDansPréChevauxTrait</f>
        <v>#REF!</v>
      </c>
      <c r="K250" s="47"/>
      <c r="L250" s="47"/>
      <c r="M250" s="103" t="e">
        <f>RationDansEcurieChevauxTrait</f>
        <v>#REF!</v>
      </c>
      <c r="N250" s="43"/>
    </row>
    <row r="251" spans="1:14" x14ac:dyDescent="0.2">
      <c r="A251" s="97"/>
      <c r="B251" s="22" t="s">
        <v>375</v>
      </c>
      <c r="C251" s="161"/>
      <c r="D251" s="4"/>
      <c r="E251" s="100" t="e">
        <f>SUM(NbreChevauxTraitMâlesAuPré_12_18Mois+NbreChevauxTraitMâlesAuPré_18_24Mois)</f>
        <v>#REF!</v>
      </c>
      <c r="F251" s="47"/>
      <c r="G251" s="47"/>
      <c r="H251" s="47"/>
      <c r="I251" s="47"/>
      <c r="J251" s="420" t="s">
        <v>805</v>
      </c>
      <c r="K251" s="421"/>
      <c r="L251" s="47"/>
      <c r="M251" s="98" t="s">
        <v>739</v>
      </c>
      <c r="N251" s="43"/>
    </row>
    <row r="252" spans="1:14" ht="13.5" thickBot="1" x14ac:dyDescent="0.25">
      <c r="A252" s="97"/>
      <c r="B252" s="23" t="s">
        <v>378</v>
      </c>
      <c r="C252" s="105"/>
      <c r="D252" s="230"/>
      <c r="E252" s="102" t="e">
        <f>SUM(NbreChevauxTraitFemellesAuPré_12_18Mois+NbreChevauxTraitFemellesAuPré_18_24Mois)</f>
        <v>#REF!</v>
      </c>
      <c r="F252" s="47"/>
      <c r="G252" s="47"/>
      <c r="H252" s="47"/>
      <c r="I252" s="47"/>
      <c r="J252" s="418"/>
      <c r="K252" s="419"/>
      <c r="L252" s="47"/>
      <c r="M252" s="227"/>
      <c r="N252" s="43"/>
    </row>
    <row r="253" spans="1:14" x14ac:dyDescent="0.2">
      <c r="A253" s="97"/>
      <c r="B253" s="24" t="s">
        <v>376</v>
      </c>
      <c r="C253" s="160"/>
      <c r="D253" s="4"/>
      <c r="E253" s="100" t="e">
        <f>NbreChevauxTraitMâlesAuPré_24_36Mois</f>
        <v>#REF!</v>
      </c>
      <c r="F253" s="47"/>
      <c r="G253" s="47"/>
      <c r="H253" s="47"/>
      <c r="I253" s="47"/>
      <c r="J253" s="47"/>
      <c r="K253" s="47"/>
      <c r="L253" s="47"/>
      <c r="M253" s="47"/>
      <c r="N253" s="43"/>
    </row>
    <row r="254" spans="1:14" ht="13.5" thickBot="1" x14ac:dyDescent="0.25">
      <c r="A254" s="97"/>
      <c r="B254" s="21" t="s">
        <v>377</v>
      </c>
      <c r="C254" s="101"/>
      <c r="D254" s="230"/>
      <c r="E254" s="102" t="e">
        <f>NbreChevauxTraitFemellesAuPré_24_36Mois</f>
        <v>#REF!</v>
      </c>
      <c r="F254" s="47"/>
      <c r="G254" s="47"/>
      <c r="H254" s="47"/>
      <c r="I254" s="47"/>
      <c r="J254" s="420" t="s">
        <v>871</v>
      </c>
      <c r="K254" s="421"/>
      <c r="L254" s="47"/>
      <c r="M254" s="98" t="s">
        <v>872</v>
      </c>
      <c r="N254" s="43"/>
    </row>
    <row r="255" spans="1:14" x14ac:dyDescent="0.2">
      <c r="A255" s="97"/>
      <c r="B255" s="22" t="s">
        <v>379</v>
      </c>
      <c r="C255" s="161"/>
      <c r="D255" s="4"/>
      <c r="E255" s="100" t="e">
        <f>NbreChevauxTraitMâlesAuPré_3AnsEtPlus</f>
        <v>#REF!</v>
      </c>
      <c r="F255" s="47"/>
      <c r="G255" s="47"/>
      <c r="H255" s="47"/>
      <c r="I255" s="47"/>
      <c r="J255" s="418"/>
      <c r="K255" s="419"/>
      <c r="L255" s="47"/>
      <c r="M255" s="271"/>
      <c r="N255" s="43"/>
    </row>
    <row r="256" spans="1:14" ht="13.5" thickBot="1" x14ac:dyDescent="0.25">
      <c r="A256" s="97"/>
      <c r="B256" s="23" t="s">
        <v>380</v>
      </c>
      <c r="C256" s="105"/>
      <c r="D256" s="230"/>
      <c r="E256" s="102" t="e">
        <f>NbreChevauxTraitFemellesAuPré_3AnsEtPlus</f>
        <v>#REF!</v>
      </c>
      <c r="F256" s="47"/>
      <c r="G256" s="47"/>
      <c r="H256" s="47"/>
      <c r="I256" s="47"/>
      <c r="J256" s="103"/>
      <c r="K256" s="47"/>
      <c r="L256" s="47"/>
      <c r="M256" s="47"/>
      <c r="N256" s="43"/>
    </row>
    <row r="257" spans="1:14" x14ac:dyDescent="0.2">
      <c r="A257" s="97"/>
      <c r="B257" s="47"/>
      <c r="C257" s="47"/>
      <c r="D257" s="47"/>
      <c r="E257" s="47"/>
      <c r="F257" s="47"/>
      <c r="G257" s="47"/>
      <c r="H257" s="47"/>
      <c r="I257" s="47"/>
      <c r="J257" s="18" t="s">
        <v>89</v>
      </c>
      <c r="K257" s="106"/>
      <c r="L257" s="47" t="str">
        <f>IF(ChoixChevauxTraitPréHiver=OUI,"coût : 0€/an",IF(OR(ChoixPaillageChevauxTrait="",ChoixPaillageChevauxTrait=NON),"","coût : "&amp;PrixPaille*84*SUM(TotalChevauxTrait)/1000&amp;"€/an (si pas de mise au pré l'été, sinon "&amp;(IF(ChoixChevauxTraitPréHiver=OUI,"coût : 0€/an",PrixPaille*(84-35)*SUM(TotalChevauxTrait)/1000&amp;"€/an)"))))</f>
        <v/>
      </c>
      <c r="M257" s="47"/>
      <c r="N257" s="43"/>
    </row>
    <row r="258" spans="1:14" x14ac:dyDescent="0.2">
      <c r="A258" s="97"/>
      <c r="B258" s="47"/>
      <c r="C258" s="47"/>
      <c r="D258" s="47"/>
      <c r="E258" s="47"/>
      <c r="F258" s="47"/>
      <c r="G258" s="47"/>
      <c r="H258" s="47"/>
      <c r="I258" s="47"/>
      <c r="J258" s="19" t="s">
        <v>88</v>
      </c>
      <c r="K258" s="106"/>
      <c r="L258" s="47" t="str">
        <f>IF(ChoixVaccinChevauxTrait=OUI,"coût : " &amp;SUM(TotalChevauxTrait)*PrixVaccinChevauxTrait &amp;"€/an","")</f>
        <v/>
      </c>
      <c r="M258" s="47"/>
      <c r="N258" s="43"/>
    </row>
    <row r="259" spans="1:14" hidden="1" x14ac:dyDescent="0.2">
      <c r="A259" s="97"/>
      <c r="B259" s="47"/>
      <c r="C259" s="47"/>
      <c r="D259" s="47"/>
      <c r="E259" s="47"/>
      <c r="F259" s="47"/>
      <c r="G259" s="47"/>
      <c r="H259" s="47"/>
      <c r="I259" s="47"/>
      <c r="J259" s="47"/>
      <c r="K259" s="47"/>
      <c r="L259" s="47"/>
      <c r="M259" s="47"/>
      <c r="N259" s="43"/>
    </row>
    <row r="260" spans="1:14" ht="13.5" thickBot="1" x14ac:dyDescent="0.25">
      <c r="A260" s="107"/>
      <c r="B260" s="109"/>
      <c r="C260" s="109"/>
      <c r="D260" s="109"/>
      <c r="E260" s="109"/>
      <c r="F260" s="109"/>
      <c r="G260" s="109"/>
      <c r="H260" s="109"/>
      <c r="I260" s="109"/>
      <c r="J260" s="109"/>
      <c r="K260" s="109"/>
      <c r="L260" s="109"/>
      <c r="M260" s="109"/>
      <c r="N260" s="110"/>
    </row>
    <row r="261" spans="1:14" ht="13.5" thickBot="1" x14ac:dyDescent="0.25">
      <c r="A261" s="111" t="s">
        <v>594</v>
      </c>
      <c r="B261" s="112"/>
      <c r="C261" s="112"/>
      <c r="D261" s="112"/>
      <c r="E261" s="112"/>
      <c r="F261" s="112"/>
      <c r="G261" s="112"/>
      <c r="H261" s="112"/>
      <c r="I261" s="112"/>
      <c r="J261" s="112"/>
      <c r="K261" s="112"/>
      <c r="L261" s="112"/>
      <c r="M261" s="112"/>
      <c r="N261" s="156"/>
    </row>
    <row r="262" spans="1:14" ht="13.5" thickBot="1" x14ac:dyDescent="0.25">
      <c r="A262" s="117" t="str">
        <f>"Total : "&amp;SUM(TotalPoneys)</f>
        <v>Total : 0</v>
      </c>
      <c r="B262" s="51"/>
      <c r="C262" s="6" t="s">
        <v>11</v>
      </c>
      <c r="D262" s="78" t="s">
        <v>829</v>
      </c>
      <c r="E262" s="6" t="s">
        <v>10</v>
      </c>
      <c r="F262" s="51"/>
      <c r="G262" s="51"/>
      <c r="H262" s="51"/>
      <c r="I262" s="51"/>
      <c r="J262" s="420" t="s">
        <v>697</v>
      </c>
      <c r="K262" s="421"/>
      <c r="L262" s="51"/>
      <c r="M262" s="98" t="s">
        <v>804</v>
      </c>
      <c r="N262" s="44"/>
    </row>
    <row r="263" spans="1:14" x14ac:dyDescent="0.2">
      <c r="A263" s="117"/>
      <c r="B263" s="20" t="s">
        <v>373</v>
      </c>
      <c r="C263" s="160"/>
      <c r="D263" s="4"/>
      <c r="E263" s="100" t="e">
        <f>SUM(NbrePoneysMâlesAuPré_0_3Mois+NbrePoneysMâlesAuPré_3_6Mois+NbrePoneysMâlesAuPré_6_12Mois)</f>
        <v>#REF!</v>
      </c>
      <c r="F263" s="51"/>
      <c r="G263" s="51"/>
      <c r="H263" s="51"/>
      <c r="I263" s="51"/>
      <c r="J263" s="418"/>
      <c r="K263" s="419"/>
      <c r="L263" s="51"/>
      <c r="M263" s="226"/>
      <c r="N263" s="44"/>
    </row>
    <row r="264" spans="1:14" ht="13.5" thickBot="1" x14ac:dyDescent="0.25">
      <c r="A264" s="117"/>
      <c r="B264" s="21" t="s">
        <v>374</v>
      </c>
      <c r="C264" s="101"/>
      <c r="D264" s="230"/>
      <c r="E264" s="102" t="e">
        <f>SUM(NbrePoneysFemellesAuPré_0_3Mois+NbrePoneysFemellesAuPré_3_6Mois+NbrePoneysFemellesAuPré_6_12Mois)</f>
        <v>#REF!</v>
      </c>
      <c r="F264" s="51"/>
      <c r="G264" s="51"/>
      <c r="H264" s="51"/>
      <c r="I264" s="51"/>
      <c r="J264" s="124" t="e">
        <f>RationDansPréPoneys</f>
        <v>#REF!</v>
      </c>
      <c r="K264" s="51"/>
      <c r="L264" s="51"/>
      <c r="M264" s="124" t="e">
        <f>RationDansEcuriePoneys</f>
        <v>#REF!</v>
      </c>
      <c r="N264" s="44"/>
    </row>
    <row r="265" spans="1:14" x14ac:dyDescent="0.2">
      <c r="A265" s="117"/>
      <c r="B265" s="22" t="s">
        <v>375</v>
      </c>
      <c r="C265" s="161"/>
      <c r="D265" s="4"/>
      <c r="E265" s="100" t="e">
        <f>SUM(NbrePoneysMâlesAuPré_12_18Mois+NbrePoneysMâlesAuPré_18_24Mois)</f>
        <v>#REF!</v>
      </c>
      <c r="F265" s="51"/>
      <c r="G265" s="51"/>
      <c r="H265" s="51"/>
      <c r="I265" s="51"/>
      <c r="J265" s="420" t="s">
        <v>805</v>
      </c>
      <c r="K265" s="421"/>
      <c r="L265" s="51"/>
      <c r="M265" s="98" t="s">
        <v>739</v>
      </c>
      <c r="N265" s="44"/>
    </row>
    <row r="266" spans="1:14" ht="13.5" thickBot="1" x14ac:dyDescent="0.25">
      <c r="A266" s="117"/>
      <c r="B266" s="23" t="s">
        <v>378</v>
      </c>
      <c r="C266" s="105"/>
      <c r="D266" s="230"/>
      <c r="E266" s="102" t="e">
        <f>SUM(NbrePoneysFemellesAuPré_12_18Mois+NbrePoneysFemellesAuPré_18_24Mois)</f>
        <v>#REF!</v>
      </c>
      <c r="F266" s="51"/>
      <c r="G266" s="51"/>
      <c r="H266" s="51"/>
      <c r="I266" s="51"/>
      <c r="J266" s="418"/>
      <c r="K266" s="419"/>
      <c r="L266" s="51"/>
      <c r="M266" s="227"/>
      <c r="N266" s="44"/>
    </row>
    <row r="267" spans="1:14" x14ac:dyDescent="0.2">
      <c r="A267" s="117"/>
      <c r="B267" s="24" t="s">
        <v>376</v>
      </c>
      <c r="C267" s="160"/>
      <c r="D267" s="4"/>
      <c r="E267" s="100" t="e">
        <f>NbrePoneysMâlesAuPré_24_36Mois</f>
        <v>#REF!</v>
      </c>
      <c r="F267" s="51"/>
      <c r="G267" s="51"/>
      <c r="H267" s="51"/>
      <c r="I267" s="51"/>
      <c r="J267" s="51"/>
      <c r="K267" s="51"/>
      <c r="L267" s="51"/>
      <c r="M267" s="51"/>
      <c r="N267" s="44"/>
    </row>
    <row r="268" spans="1:14" ht="13.5" thickBot="1" x14ac:dyDescent="0.25">
      <c r="A268" s="117"/>
      <c r="B268" s="21" t="s">
        <v>377</v>
      </c>
      <c r="C268" s="101"/>
      <c r="D268" s="230"/>
      <c r="E268" s="102" t="e">
        <f>NbrePoneysFemellesAuPré_24_36Mois</f>
        <v>#REF!</v>
      </c>
      <c r="F268" s="51"/>
      <c r="G268" s="51"/>
      <c r="H268" s="51"/>
      <c r="I268" s="51"/>
      <c r="J268" s="420" t="s">
        <v>871</v>
      </c>
      <c r="K268" s="421"/>
      <c r="L268" s="51"/>
      <c r="M268" s="98" t="s">
        <v>872</v>
      </c>
      <c r="N268" s="44"/>
    </row>
    <row r="269" spans="1:14" x14ac:dyDescent="0.2">
      <c r="A269" s="117"/>
      <c r="B269" s="22" t="s">
        <v>379</v>
      </c>
      <c r="C269" s="161"/>
      <c r="D269" s="4"/>
      <c r="E269" s="100" t="e">
        <f>NbrePoneysMâlesAuPré_3AnsEtPlus</f>
        <v>#REF!</v>
      </c>
      <c r="F269" s="51"/>
      <c r="G269" s="51"/>
      <c r="H269" s="51"/>
      <c r="I269" s="51"/>
      <c r="J269" s="418"/>
      <c r="K269" s="419"/>
      <c r="L269" s="51"/>
      <c r="M269" s="271"/>
      <c r="N269" s="44"/>
    </row>
    <row r="270" spans="1:14" ht="13.5" thickBot="1" x14ac:dyDescent="0.25">
      <c r="A270" s="117"/>
      <c r="B270" s="23" t="s">
        <v>380</v>
      </c>
      <c r="C270" s="105"/>
      <c r="D270" s="230"/>
      <c r="E270" s="102" t="e">
        <f>NbrePoneysFemellesAuPré_3AnsEtPlus</f>
        <v>#REF!</v>
      </c>
      <c r="F270" s="51"/>
      <c r="G270" s="51"/>
      <c r="H270" s="51"/>
      <c r="I270" s="51"/>
      <c r="J270" s="51"/>
      <c r="K270" s="51"/>
      <c r="L270" s="51"/>
      <c r="M270" s="51"/>
      <c r="N270" s="44"/>
    </row>
    <row r="271" spans="1:14" x14ac:dyDescent="0.2">
      <c r="A271" s="117"/>
      <c r="B271" s="51"/>
      <c r="C271" s="51"/>
      <c r="D271" s="51"/>
      <c r="E271" s="51"/>
      <c r="F271" s="51"/>
      <c r="G271" s="51"/>
      <c r="H271" s="51"/>
      <c r="I271" s="51"/>
      <c r="J271" s="18" t="s">
        <v>89</v>
      </c>
      <c r="K271" s="106"/>
      <c r="L271" s="51" t="str">
        <f>IF(ChoixPoneysPréHiver=OUI,"coût : 0€/an",IF(OR(ChoixPaillagePoneys="",ChoixPaillagePoneys=NON),"","coût : "&amp;PrixPaille*84*SUM(TotalPoneys)/1000&amp;"€/an (si pas de mise au pré l'été, sinon "&amp;(IF(ChoixPoneysPréHiver=OUI,"coût : 0€/an",PrixPaille*(84-35)*SUM(TotalPoneys)/1000&amp;"€/an)"))))</f>
        <v/>
      </c>
      <c r="M271" s="51"/>
      <c r="N271" s="44"/>
    </row>
    <row r="272" spans="1:14" x14ac:dyDescent="0.2">
      <c r="A272" s="117"/>
      <c r="B272" s="51"/>
      <c r="C272" s="51"/>
      <c r="D272" s="51"/>
      <c r="E272" s="51"/>
      <c r="F272" s="51"/>
      <c r="G272" s="51"/>
      <c r="H272" s="51"/>
      <c r="I272" s="51"/>
      <c r="J272" s="19" t="s">
        <v>88</v>
      </c>
      <c r="K272" s="106"/>
      <c r="L272" s="51" t="str">
        <f>IF(ChoixVaccinPoneys=OUI,"coût : " &amp;SUM(TotalPoneys)*prixVaccinPoney &amp;"€/an","")</f>
        <v/>
      </c>
      <c r="M272" s="51"/>
      <c r="N272" s="44"/>
    </row>
    <row r="273" spans="1:14" hidden="1" x14ac:dyDescent="0.2">
      <c r="A273" s="117"/>
      <c r="B273" s="51"/>
      <c r="C273" s="51"/>
      <c r="D273" s="51"/>
      <c r="E273" s="51"/>
      <c r="F273" s="51"/>
      <c r="G273" s="51"/>
      <c r="H273" s="51"/>
      <c r="I273" s="51"/>
      <c r="J273" s="51"/>
      <c r="K273" s="51"/>
      <c r="L273" s="51"/>
      <c r="M273" s="51"/>
      <c r="N273" s="44"/>
    </row>
    <row r="274" spans="1:14" ht="13.5" thickBot="1" x14ac:dyDescent="0.25">
      <c r="A274" s="125"/>
      <c r="B274" s="52"/>
      <c r="C274" s="52"/>
      <c r="D274" s="52"/>
      <c r="E274" s="52"/>
      <c r="F274" s="52"/>
      <c r="G274" s="52"/>
      <c r="H274" s="52"/>
      <c r="I274" s="52"/>
      <c r="J274" s="52"/>
      <c r="K274" s="52"/>
      <c r="L274" s="52"/>
      <c r="M274" s="52"/>
      <c r="N274" s="46"/>
    </row>
    <row r="275" spans="1:14" x14ac:dyDescent="0.2">
      <c r="A275" s="220"/>
      <c r="B275" s="221"/>
      <c r="C275" s="221"/>
      <c r="D275" s="221"/>
      <c r="E275" s="221"/>
      <c r="F275" s="221"/>
      <c r="G275" s="221"/>
      <c r="H275" s="221"/>
      <c r="I275" s="221"/>
      <c r="J275" s="221"/>
      <c r="K275" s="221"/>
      <c r="L275" s="221"/>
      <c r="M275" s="221"/>
      <c r="N275" s="222"/>
    </row>
    <row r="276" spans="1:14" x14ac:dyDescent="0.2">
      <c r="A276" s="220"/>
      <c r="B276" s="416" t="s">
        <v>792</v>
      </c>
      <c r="C276" s="417"/>
      <c r="D276" s="417"/>
      <c r="E276" s="228" t="s">
        <v>92</v>
      </c>
      <c r="F276" s="221"/>
      <c r="G276" s="221"/>
      <c r="H276" s="221"/>
      <c r="I276" s="221"/>
      <c r="J276" s="221"/>
      <c r="K276" s="221"/>
      <c r="L276" s="221"/>
      <c r="M276" s="221"/>
      <c r="N276" s="222"/>
    </row>
    <row r="277" spans="1:14" x14ac:dyDescent="0.2">
      <c r="A277" s="220"/>
      <c r="B277" s="416" t="s">
        <v>795</v>
      </c>
      <c r="C277" s="417"/>
      <c r="D277" s="417"/>
      <c r="E277" s="228" t="s">
        <v>92</v>
      </c>
      <c r="F277" s="221"/>
      <c r="G277" s="221"/>
      <c r="H277" s="221"/>
      <c r="I277" s="221"/>
      <c r="J277" s="221"/>
      <c r="K277" s="221"/>
      <c r="L277" s="221"/>
      <c r="M277" s="221"/>
      <c r="N277" s="222"/>
    </row>
    <row r="278" spans="1:14" x14ac:dyDescent="0.2">
      <c r="A278" s="220"/>
      <c r="B278" s="416" t="s">
        <v>793</v>
      </c>
      <c r="C278" s="417"/>
      <c r="D278" s="417"/>
      <c r="E278" s="228" t="s">
        <v>92</v>
      </c>
      <c r="F278" s="221"/>
      <c r="G278" s="221"/>
      <c r="H278" s="221"/>
      <c r="I278" s="221"/>
      <c r="J278" s="221"/>
      <c r="K278" s="221"/>
      <c r="L278" s="221"/>
      <c r="M278" s="221"/>
      <c r="N278" s="222"/>
    </row>
    <row r="279" spans="1:14" x14ac:dyDescent="0.2">
      <c r="A279" s="220"/>
      <c r="B279" s="416" t="s">
        <v>794</v>
      </c>
      <c r="C279" s="417"/>
      <c r="D279" s="417"/>
      <c r="E279" s="228" t="s">
        <v>92</v>
      </c>
      <c r="F279" s="221"/>
      <c r="G279" s="221"/>
      <c r="H279" s="221"/>
      <c r="I279" s="221"/>
      <c r="J279" s="221"/>
      <c r="K279" s="221"/>
      <c r="L279" s="221"/>
      <c r="M279" s="221"/>
      <c r="N279" s="222"/>
    </row>
    <row r="280" spans="1:14" ht="13.5" thickBot="1" x14ac:dyDescent="0.25">
      <c r="A280" s="223"/>
      <c r="B280" s="224"/>
      <c r="C280" s="224"/>
      <c r="D280" s="224"/>
      <c r="E280" s="224"/>
      <c r="F280" s="224"/>
      <c r="G280" s="224"/>
      <c r="H280" s="224"/>
      <c r="I280" s="224"/>
      <c r="J280" s="224"/>
      <c r="K280" s="224"/>
      <c r="L280" s="224"/>
      <c r="M280" s="224"/>
      <c r="N280" s="225"/>
    </row>
  </sheetData>
  <sheetProtection pivotTables="0"/>
  <mergeCells count="140">
    <mergeCell ref="J204:K204"/>
    <mergeCell ref="J88:K88"/>
    <mergeCell ref="J89:K89"/>
    <mergeCell ref="J126:K126"/>
    <mergeCell ref="J127:K127"/>
    <mergeCell ref="J159:K159"/>
    <mergeCell ref="J160:K160"/>
    <mergeCell ref="J191:K191"/>
    <mergeCell ref="J192:K192"/>
    <mergeCell ref="J154:K154"/>
    <mergeCell ref="J91:K91"/>
    <mergeCell ref="J195:K195"/>
    <mergeCell ref="J156:K156"/>
    <mergeCell ref="J185:K185"/>
    <mergeCell ref="J186:K186"/>
    <mergeCell ref="J188:K188"/>
    <mergeCell ref="J189:K189"/>
    <mergeCell ref="J178:K178"/>
    <mergeCell ref="J179:K179"/>
    <mergeCell ref="J194:K194"/>
    <mergeCell ref="J69:K69"/>
    <mergeCell ref="J70:K70"/>
    <mergeCell ref="J107:K107"/>
    <mergeCell ref="J108:K108"/>
    <mergeCell ref="J143:K143"/>
    <mergeCell ref="J144:K144"/>
    <mergeCell ref="J175:K175"/>
    <mergeCell ref="J176:K176"/>
    <mergeCell ref="J73:K73"/>
    <mergeCell ref="J79:K79"/>
    <mergeCell ref="J80:K80"/>
    <mergeCell ref="J235:K235"/>
    <mergeCell ref="J248:K248"/>
    <mergeCell ref="J249:K249"/>
    <mergeCell ref="J218:K218"/>
    <mergeCell ref="J208:K208"/>
    <mergeCell ref="J217:K217"/>
    <mergeCell ref="J225:K225"/>
    <mergeCell ref="J214:K214"/>
    <mergeCell ref="J215:K215"/>
    <mergeCell ref="J223:K223"/>
    <mergeCell ref="J224:K224"/>
    <mergeCell ref="J220:K220"/>
    <mergeCell ref="J221:K221"/>
    <mergeCell ref="J234:K234"/>
    <mergeCell ref="J67:K67"/>
    <mergeCell ref="J54:K54"/>
    <mergeCell ref="J63:K63"/>
    <mergeCell ref="J60:K60"/>
    <mergeCell ref="J61:K61"/>
    <mergeCell ref="J153:K153"/>
    <mergeCell ref="J124:K124"/>
    <mergeCell ref="J130:K130"/>
    <mergeCell ref="J131:K131"/>
    <mergeCell ref="J146:K146"/>
    <mergeCell ref="J147:K147"/>
    <mergeCell ref="J137:K137"/>
    <mergeCell ref="J138:K138"/>
    <mergeCell ref="J140:K140"/>
    <mergeCell ref="J141:K141"/>
    <mergeCell ref="J92:K92"/>
    <mergeCell ref="J110:K110"/>
    <mergeCell ref="J111:K111"/>
    <mergeCell ref="J82:K82"/>
    <mergeCell ref="J83:K83"/>
    <mergeCell ref="J101:K101"/>
    <mergeCell ref="J102:K102"/>
    <mergeCell ref="J118:K118"/>
    <mergeCell ref="J129:K129"/>
    <mergeCell ref="J157:K157"/>
    <mergeCell ref="J162:K162"/>
    <mergeCell ref="J202:K202"/>
    <mergeCell ref="J207:K207"/>
    <mergeCell ref="J163:K163"/>
    <mergeCell ref="J98:K98"/>
    <mergeCell ref="J99:K99"/>
    <mergeCell ref="J120:K120"/>
    <mergeCell ref="J72:K72"/>
    <mergeCell ref="J123:K123"/>
    <mergeCell ref="J121:K121"/>
    <mergeCell ref="J85:K85"/>
    <mergeCell ref="J86:K86"/>
    <mergeCell ref="J104:K104"/>
    <mergeCell ref="J105:K105"/>
    <mergeCell ref="J117:K117"/>
    <mergeCell ref="J205:K205"/>
    <mergeCell ref="J201:K201"/>
    <mergeCell ref="J198:K198"/>
    <mergeCell ref="J199:K199"/>
    <mergeCell ref="J169:K169"/>
    <mergeCell ref="J170:K170"/>
    <mergeCell ref="J172:K172"/>
    <mergeCell ref="J173:K173"/>
    <mergeCell ref="J48:K48"/>
    <mergeCell ref="J53:K53"/>
    <mergeCell ref="J31:K31"/>
    <mergeCell ref="J36:K36"/>
    <mergeCell ref="J37:K37"/>
    <mergeCell ref="J44:K44"/>
    <mergeCell ref="J45:K45"/>
    <mergeCell ref="J66:K66"/>
    <mergeCell ref="J64:K64"/>
    <mergeCell ref="J50:K50"/>
    <mergeCell ref="J51:K51"/>
    <mergeCell ref="J27:K27"/>
    <mergeCell ref="C1:D1"/>
    <mergeCell ref="J7:K7"/>
    <mergeCell ref="J10:K10"/>
    <mergeCell ref="J8:K8"/>
    <mergeCell ref="J11:K11"/>
    <mergeCell ref="J28:K28"/>
    <mergeCell ref="J30:K30"/>
    <mergeCell ref="J47:K47"/>
    <mergeCell ref="J16:K16"/>
    <mergeCell ref="J17:K17"/>
    <mergeCell ref="J33:K33"/>
    <mergeCell ref="J34:K34"/>
    <mergeCell ref="J13:K13"/>
    <mergeCell ref="J14:K14"/>
    <mergeCell ref="J19:K19"/>
    <mergeCell ref="J20:K20"/>
    <mergeCell ref="J21:K21"/>
    <mergeCell ref="B276:D276"/>
    <mergeCell ref="B277:D277"/>
    <mergeCell ref="B278:D278"/>
    <mergeCell ref="B279:D279"/>
    <mergeCell ref="J266:K266"/>
    <mergeCell ref="J237:K237"/>
    <mergeCell ref="J238:K238"/>
    <mergeCell ref="J251:K251"/>
    <mergeCell ref="J252:K252"/>
    <mergeCell ref="J265:K265"/>
    <mergeCell ref="J262:K262"/>
    <mergeCell ref="J263:K263"/>
    <mergeCell ref="J254:K254"/>
    <mergeCell ref="J255:K255"/>
    <mergeCell ref="J240:K240"/>
    <mergeCell ref="J241:K241"/>
    <mergeCell ref="J268:K268"/>
    <mergeCell ref="J269:K269"/>
  </mergeCells>
  <conditionalFormatting sqref="O104:O118">
    <cfRule type="expression" dxfId="134" priority="205" stopIfTrue="1">
      <formula>IF(OR(#REF!="",#REF!=$O$2),TRUE,FALSE)</formula>
    </cfRule>
  </conditionalFormatting>
  <conditionalFormatting sqref="M10">
    <cfRule type="cellIs" dxfId="133" priority="77" operator="equal">
      <formula>0</formula>
    </cfRule>
  </conditionalFormatting>
  <conditionalFormatting sqref="O138:O144">
    <cfRule type="expression" dxfId="132" priority="72" stopIfTrue="1">
      <formula>IF(OR(#REF!="",#REF!=$O$2),TRUE,FALSE)</formula>
    </cfRule>
  </conditionalFormatting>
  <conditionalFormatting sqref="M13">
    <cfRule type="cellIs" dxfId="131" priority="71" operator="equal">
      <formula>0</formula>
    </cfRule>
  </conditionalFormatting>
  <conditionalFormatting sqref="J234">
    <cfRule type="cellIs" dxfId="130" priority="66" operator="equal">
      <formula>0</formula>
    </cfRule>
  </conditionalFormatting>
  <conditionalFormatting sqref="J237">
    <cfRule type="cellIs" dxfId="129" priority="65" operator="equal">
      <formula>0</formula>
    </cfRule>
  </conditionalFormatting>
  <conditionalFormatting sqref="J248">
    <cfRule type="cellIs" dxfId="128" priority="64" operator="equal">
      <formula>0</formula>
    </cfRule>
  </conditionalFormatting>
  <conditionalFormatting sqref="J262">
    <cfRule type="cellIs" dxfId="127" priority="62" operator="equal">
      <formula>0</formula>
    </cfRule>
  </conditionalFormatting>
  <conditionalFormatting sqref="M201">
    <cfRule type="cellIs" dxfId="126" priority="60" operator="equal">
      <formula>0</formula>
    </cfRule>
  </conditionalFormatting>
  <conditionalFormatting sqref="M204">
    <cfRule type="cellIs" dxfId="125" priority="59" operator="equal">
      <formula>0</formula>
    </cfRule>
  </conditionalFormatting>
  <conditionalFormatting sqref="M7">
    <cfRule type="cellIs" dxfId="124" priority="58" operator="equal">
      <formula>0</formula>
    </cfRule>
  </conditionalFormatting>
  <conditionalFormatting sqref="M44">
    <cfRule type="cellIs" dxfId="123" priority="56" operator="equal">
      <formula>0</formula>
    </cfRule>
  </conditionalFormatting>
  <conditionalFormatting sqref="M198">
    <cfRule type="cellIs" dxfId="122" priority="55" operator="equal">
      <formula>0</formula>
    </cfRule>
  </conditionalFormatting>
  <conditionalFormatting sqref="M234">
    <cfRule type="cellIs" dxfId="121" priority="54" operator="equal">
      <formula>0</formula>
    </cfRule>
  </conditionalFormatting>
  <conditionalFormatting sqref="M248">
    <cfRule type="cellIs" dxfId="120" priority="53" operator="equal">
      <formula>0</formula>
    </cfRule>
  </conditionalFormatting>
  <conditionalFormatting sqref="M262">
    <cfRule type="cellIs" dxfId="119" priority="52" operator="equal">
      <formula>0</formula>
    </cfRule>
  </conditionalFormatting>
  <conditionalFormatting sqref="M16">
    <cfRule type="cellIs" dxfId="118" priority="46" operator="equal">
      <formula>0</formula>
    </cfRule>
  </conditionalFormatting>
  <conditionalFormatting sqref="M237">
    <cfRule type="cellIs" dxfId="117" priority="18" operator="equal">
      <formula>0</formula>
    </cfRule>
  </conditionalFormatting>
  <conditionalFormatting sqref="M251">
    <cfRule type="cellIs" dxfId="116" priority="17" operator="equal">
      <formula>0</formula>
    </cfRule>
  </conditionalFormatting>
  <conditionalFormatting sqref="M265">
    <cfRule type="cellIs" dxfId="115" priority="16" operator="equal">
      <formula>0</formula>
    </cfRule>
  </conditionalFormatting>
  <conditionalFormatting sqref="J251">
    <cfRule type="cellIs" dxfId="114" priority="14" operator="equal">
      <formula>0</formula>
    </cfRule>
  </conditionalFormatting>
  <conditionalFormatting sqref="J265">
    <cfRule type="cellIs" dxfId="113" priority="13" operator="equal">
      <formula>0</formula>
    </cfRule>
  </conditionalFormatting>
  <conditionalFormatting sqref="J19:K21">
    <cfRule type="expression" dxfId="112" priority="12">
      <formula>IF(OR($J$14="",$J$14=OUI),TRUE,FALSE)</formula>
    </cfRule>
  </conditionalFormatting>
  <conditionalFormatting sqref="J36:K37">
    <cfRule type="expression" dxfId="111" priority="11">
      <formula>IF(OR($J$31="",$J$31=OUI),TRUE,FALSE)</formula>
    </cfRule>
  </conditionalFormatting>
  <conditionalFormatting sqref="J53:K54">
    <cfRule type="expression" dxfId="110" priority="10">
      <formula>IF(OR($J$48="",$J$48=OUI),TRUE,FALSE)</formula>
    </cfRule>
  </conditionalFormatting>
  <conditionalFormatting sqref="J72:K73">
    <cfRule type="expression" dxfId="109" priority="9">
      <formula>IF(OR($J$67="",$J$67=OUI),TRUE,FALSE)</formula>
    </cfRule>
  </conditionalFormatting>
  <conditionalFormatting sqref="J91:K92">
    <cfRule type="expression" dxfId="108" priority="8">
      <formula>IF(OR($J$86="",$J$86=OUI),TRUE,FALSE)</formula>
    </cfRule>
  </conditionalFormatting>
  <conditionalFormatting sqref="J110:K111">
    <cfRule type="expression" dxfId="107" priority="7">
      <formula>IF(OR($J$105="",$J$105=OUI),TRUE,FALSE)</formula>
    </cfRule>
  </conditionalFormatting>
  <conditionalFormatting sqref="J129:K131">
    <cfRule type="expression" dxfId="106" priority="6">
      <formula>IF(OR($J$124="",$J$124=OUI),TRUE,FALSE)</formula>
    </cfRule>
  </conditionalFormatting>
  <conditionalFormatting sqref="J146:K147">
    <cfRule type="expression" dxfId="105" priority="5">
      <formula>IF(OR($J$141="",$J$141=OUI),TRUE,FALSE)</formula>
    </cfRule>
  </conditionalFormatting>
  <conditionalFormatting sqref="J162:K163">
    <cfRule type="expression" dxfId="104" priority="4">
      <formula>IF(OR($J$157="",$J$157=OUI),TRUE,FALSE)</formula>
    </cfRule>
  </conditionalFormatting>
  <conditionalFormatting sqref="J178:K179">
    <cfRule type="expression" dxfId="103" priority="3">
      <formula>IF(OR($J$173="",$J$173=OUI),TRUE,FALSE)</formula>
    </cfRule>
  </conditionalFormatting>
  <conditionalFormatting sqref="J194:K195">
    <cfRule type="expression" dxfId="102" priority="2">
      <formula>IF(OR($J$189="",$J$189=OUI),TRUE,FALSE)</formula>
    </cfRule>
  </conditionalFormatting>
  <conditionalFormatting sqref="J207:K208">
    <cfRule type="expression" dxfId="101" priority="1">
      <formula>IF(OR($J$202="",$J$202=OUI),TRUE,FALSE)</formula>
    </cfRule>
  </conditionalFormatting>
  <dataValidations count="2">
    <dataValidation type="list" allowBlank="1" showInputMessage="1" showErrorMessage="1" sqref="K151 K183">
      <formula1>$Y$2:$Y$3</formula1>
    </dataValidation>
    <dataValidation type="list" allowBlank="1" showInputMessage="1" showErrorMessage="1" sqref="J195:K195">
      <formula1>$FO$11:$FO$12</formula1>
    </dataValidation>
  </dataValidations>
  <hyperlinks>
    <hyperlink ref="C1:D1" location="notice!A1" display="Cliques → ICI ←"/>
    <hyperlink ref="E276" location="silos!A1" display="Cliques → ICI ←"/>
    <hyperlink ref="E278" location="'bâtiments d''élevage'!A1" display="Cliques → ICI ←"/>
    <hyperlink ref="E279" location="'pâtures et foin'!A1" display="Cliques → ICI ←"/>
    <hyperlink ref="E277" location="'entrepôts et local phyto'!A1" display="Cliques → ICI ←"/>
  </hyperlinks>
  <pageMargins left="0.78740157499999996" right="0.78740157499999996" top="0.984251969" bottom="0.984251969" header="0.5" footer="0.5"/>
  <pageSetup paperSize="9" orientation="portrait" r:id="rId1"/>
  <headerFooter alignWithMargins="0"/>
  <ignoredErrors>
    <ignoredError sqref="M203" unlockedFormula="1"/>
  </ignoredErrors>
  <legacyDrawing r:id="rId2"/>
  <extLst>
    <ext xmlns:x14="http://schemas.microsoft.com/office/spreadsheetml/2009/9/main" uri="{78C0D931-6437-407d-A8EE-F0AAD7539E65}">
      <x14:conditionalFormattings>
        <x14:conditionalFormatting xmlns:xm="http://schemas.microsoft.com/office/excel/2006/main">
          <x14:cfRule type="expression" priority="44" id="{C56A9A7A-E580-4A1A-8504-5A8D98314786}">
            <xm:f>IF(OR($J$14=BDD!$M$3,$J$14=""),TRUE,FALSE)</xm:f>
            <x14:dxf>
              <font>
                <strike val="0"/>
                <color theme="6" tint="0.59996337778862885"/>
              </font>
              <fill>
                <patternFill>
                  <bgColor theme="6" tint="0.59996337778862885"/>
                </patternFill>
              </fill>
              <border>
                <left/>
                <right/>
                <top/>
                <bottom/>
                <vertical/>
                <horizontal/>
              </border>
            </x14:dxf>
          </x14:cfRule>
          <xm:sqref>J16:K17</xm:sqref>
        </x14:conditionalFormatting>
        <x14:conditionalFormatting xmlns:xm="http://schemas.microsoft.com/office/excel/2006/main">
          <x14:cfRule type="expression" priority="43" id="{3E48648E-A698-498F-8D4D-3F2172EF62E4}">
            <xm:f>IF($J$14=BDD!$M$2,TRUE,FALSE)</xm:f>
            <x14:dxf>
              <font>
                <color rgb="FF00FFFF"/>
              </font>
              <fill>
                <patternFill patternType="lightUp">
                  <bgColor rgb="FF00FFFF"/>
                </patternFill>
              </fill>
            </x14:dxf>
          </x14:cfRule>
          <xm:sqref>E8:E21</xm:sqref>
        </x14:conditionalFormatting>
        <x14:conditionalFormatting xmlns:xm="http://schemas.microsoft.com/office/excel/2006/main">
          <x14:cfRule type="expression" priority="42" id="{9E3E0AAC-3AE5-49DB-B6AD-C1E3A67FEB85}">
            <xm:f>IF(OR($M$14=BDD!$M$3,$M$14=""),TRUE,FALSE)</xm:f>
            <x14:dxf>
              <font>
                <strike val="0"/>
                <color theme="6" tint="0.59996337778862885"/>
              </font>
              <fill>
                <patternFill>
                  <bgColor theme="6" tint="0.59996337778862885"/>
                </patternFill>
              </fill>
              <border>
                <left/>
                <right/>
                <top/>
                <bottom/>
                <vertical/>
                <horizontal/>
              </border>
            </x14:dxf>
          </x14:cfRule>
          <xm:sqref>M16:M17</xm:sqref>
        </x14:conditionalFormatting>
        <x14:conditionalFormatting xmlns:xm="http://schemas.microsoft.com/office/excel/2006/main">
          <x14:cfRule type="expression" priority="41" id="{6792E0A6-9A62-4738-BC99-6C0FBB0F4130}">
            <xm:f>IF(OR($J$48=BDD!$M$3,$J$48=""),TRUE,FALSE)</xm:f>
            <x14:dxf>
              <font>
                <strike val="0"/>
                <color theme="6" tint="0.59996337778862885"/>
              </font>
              <fill>
                <patternFill>
                  <bgColor theme="6" tint="0.59996337778862885"/>
                </patternFill>
              </fill>
              <border>
                <left/>
                <right/>
                <top/>
                <bottom/>
                <vertical/>
                <horizontal/>
              </border>
            </x14:dxf>
          </x14:cfRule>
          <xm:sqref>J50:K51</xm:sqref>
        </x14:conditionalFormatting>
        <x14:conditionalFormatting xmlns:xm="http://schemas.microsoft.com/office/excel/2006/main">
          <x14:cfRule type="expression" priority="40" id="{8C064AA5-1077-4761-9E35-9B6BBC5288AB}">
            <xm:f>IF(OR($J$86=BDD!$M$3,$J$86=""),TRUE,FALSE)</xm:f>
            <x14:dxf>
              <font>
                <strike val="0"/>
                <color theme="6" tint="0.59996337778862885"/>
              </font>
              <fill>
                <patternFill>
                  <bgColor theme="6" tint="0.59996337778862885"/>
                </patternFill>
              </fill>
              <border>
                <left/>
                <right/>
                <top/>
                <bottom/>
                <vertical/>
                <horizontal/>
              </border>
            </x14:dxf>
          </x14:cfRule>
          <xm:sqref>J88:K89</xm:sqref>
        </x14:conditionalFormatting>
        <x14:conditionalFormatting xmlns:xm="http://schemas.microsoft.com/office/excel/2006/main">
          <x14:cfRule type="expression" priority="39" id="{261F8F70-FC12-40C0-8192-3147F56E400F}">
            <xm:f>IF(OR($J$124=BDD!$M$3,$J$124=""),TRUE,FALSE)</xm:f>
            <x14:dxf>
              <font>
                <strike val="0"/>
                <color theme="6" tint="0.59996337778862885"/>
              </font>
              <fill>
                <patternFill>
                  <bgColor theme="6" tint="0.59996337778862885"/>
                </patternFill>
              </fill>
              <border>
                <left/>
                <right/>
                <top/>
                <bottom/>
                <vertical/>
                <horizontal/>
              </border>
            </x14:dxf>
          </x14:cfRule>
          <xm:sqref>J126:K127</xm:sqref>
        </x14:conditionalFormatting>
        <x14:conditionalFormatting xmlns:xm="http://schemas.microsoft.com/office/excel/2006/main">
          <x14:cfRule type="expression" priority="38" id="{033F59C3-7461-40D9-B2A8-DA2B503FC848}">
            <xm:f>IF(OR($J$157=BDD!$M$3,$J$157=""),TRUE,FALSE)</xm:f>
            <x14:dxf>
              <font>
                <strike val="0"/>
                <color theme="6" tint="0.59996337778862885"/>
              </font>
              <fill>
                <patternFill>
                  <bgColor theme="6" tint="0.59996337778862885"/>
                </patternFill>
              </fill>
              <border>
                <left/>
                <right/>
                <top/>
                <bottom/>
                <vertical/>
                <horizontal/>
              </border>
            </x14:dxf>
          </x14:cfRule>
          <xm:sqref>J159:K160</xm:sqref>
        </x14:conditionalFormatting>
        <x14:conditionalFormatting xmlns:xm="http://schemas.microsoft.com/office/excel/2006/main">
          <x14:cfRule type="expression" priority="37" id="{C8940A27-F334-4DE2-82DC-5C44E0470435}">
            <xm:f>IF(OR($J$189=BDD!$M$3,$J$189=""),TRUE,FALSE)</xm:f>
            <x14:dxf>
              <font>
                <strike val="0"/>
                <color theme="6" tint="0.59996337778862885"/>
              </font>
              <fill>
                <patternFill>
                  <bgColor theme="6" tint="0.59996337778862885"/>
                </patternFill>
              </fill>
              <border>
                <left/>
                <right/>
                <top/>
                <bottom/>
                <vertical/>
                <horizontal/>
              </border>
            </x14:dxf>
          </x14:cfRule>
          <xm:sqref>J191:K192</xm:sqref>
        </x14:conditionalFormatting>
        <x14:conditionalFormatting xmlns:xm="http://schemas.microsoft.com/office/excel/2006/main">
          <x14:cfRule type="expression" priority="36" id="{41023355-87A1-4D6E-A3E7-EC8E4297BAB7}">
            <xm:f>IF(OR($J$218=BDD!$M$3,$J$218=""),TRUE,FALSE)</xm:f>
            <x14:dxf>
              <font>
                <strike val="0"/>
                <color theme="6" tint="0.59996337778862885"/>
              </font>
              <fill>
                <patternFill>
                  <bgColor theme="6" tint="0.59996337778862885"/>
                </patternFill>
              </fill>
              <border>
                <left/>
                <right/>
                <top/>
                <bottom/>
                <vertical/>
                <horizontal/>
              </border>
            </x14:dxf>
          </x14:cfRule>
          <xm:sqref>J220:K221</xm:sqref>
        </x14:conditionalFormatting>
        <x14:conditionalFormatting xmlns:xm="http://schemas.microsoft.com/office/excel/2006/main">
          <x14:cfRule type="expression" priority="35" id="{1C72769A-1B38-47DA-B743-6A7EA6C9C5D2}">
            <xm:f>IF(OR($J$252=BDD!$M$3,$J$252=""),TRUE,FALSE)</xm:f>
            <x14:dxf>
              <font>
                <strike val="0"/>
                <color theme="6" tint="0.59996337778862885"/>
              </font>
              <fill>
                <patternFill>
                  <bgColor theme="6" tint="0.59996337778862885"/>
                </patternFill>
              </fill>
              <border>
                <left/>
                <right/>
                <top/>
                <bottom/>
                <vertical/>
                <horizontal/>
              </border>
            </x14:dxf>
          </x14:cfRule>
          <xm:sqref>J254:K255</xm:sqref>
        </x14:conditionalFormatting>
        <x14:conditionalFormatting xmlns:xm="http://schemas.microsoft.com/office/excel/2006/main">
          <x14:cfRule type="expression" priority="34" id="{47FDFBAA-1280-4C70-9309-878E17BB1EAB}">
            <xm:f>IF(OR($J$31="",$J$31=BDD!$M$3),TRUE,FALSE)</xm:f>
            <x14:dxf>
              <font>
                <color theme="9" tint="0.79998168889431442"/>
              </font>
              <fill>
                <patternFill>
                  <bgColor theme="9" tint="0.79998168889431442"/>
                </patternFill>
              </fill>
              <border>
                <left/>
                <right/>
                <top/>
                <bottom/>
                <vertical/>
                <horizontal/>
              </border>
            </x14:dxf>
          </x14:cfRule>
          <xm:sqref>J33:K34</xm:sqref>
        </x14:conditionalFormatting>
        <x14:conditionalFormatting xmlns:xm="http://schemas.microsoft.com/office/excel/2006/main">
          <x14:cfRule type="expression" priority="33" id="{A922C8FF-1E70-4760-8391-7CDFC7D0E727}">
            <xm:f>IF(OR($J$67="",$J$67=BDD!$M$3),TRUE,FALSE)</xm:f>
            <x14:dxf>
              <font>
                <color theme="9" tint="0.79998168889431442"/>
              </font>
              <fill>
                <patternFill>
                  <bgColor theme="9" tint="0.79998168889431442"/>
                </patternFill>
              </fill>
              <border>
                <left/>
                <right/>
                <top/>
                <bottom/>
                <vertical/>
                <horizontal/>
              </border>
            </x14:dxf>
          </x14:cfRule>
          <xm:sqref>J69:K70</xm:sqref>
        </x14:conditionalFormatting>
        <x14:conditionalFormatting xmlns:xm="http://schemas.microsoft.com/office/excel/2006/main">
          <x14:cfRule type="expression" priority="32" id="{A69918AD-EDE4-4428-81F9-E7189FD1412D}">
            <xm:f>IF(OR($J$105="",$J$105=BDD!$M$3),TRUE,FALSE)</xm:f>
            <x14:dxf>
              <font>
                <color theme="9" tint="0.79998168889431442"/>
              </font>
              <fill>
                <patternFill>
                  <bgColor theme="9" tint="0.79998168889431442"/>
                </patternFill>
              </fill>
              <border>
                <left/>
                <right/>
                <top/>
                <bottom/>
                <vertical/>
                <horizontal/>
              </border>
            </x14:dxf>
          </x14:cfRule>
          <xm:sqref>J107:K108</xm:sqref>
        </x14:conditionalFormatting>
        <x14:conditionalFormatting xmlns:xm="http://schemas.microsoft.com/office/excel/2006/main">
          <x14:cfRule type="expression" priority="31" id="{95477A86-126C-493E-A546-F36B4D15C7DB}">
            <xm:f>IF(OR($J$141="",$J$141=BDD!$M$3),TRUE,FALSE)</xm:f>
            <x14:dxf>
              <font>
                <color theme="9" tint="0.79998168889431442"/>
              </font>
              <fill>
                <patternFill>
                  <bgColor theme="9" tint="0.79998168889431442"/>
                </patternFill>
              </fill>
              <border>
                <left/>
                <right/>
                <top/>
                <bottom/>
                <vertical/>
                <horizontal/>
              </border>
            </x14:dxf>
          </x14:cfRule>
          <xm:sqref>J143:K144</xm:sqref>
        </x14:conditionalFormatting>
        <x14:conditionalFormatting xmlns:xm="http://schemas.microsoft.com/office/excel/2006/main">
          <x14:cfRule type="expression" priority="30" id="{2A11C264-A640-4189-9A54-855B1B3933DE}">
            <xm:f>IF(OR($J$173="",$J$173=BDD!$M$3),TRUE,FALSE)</xm:f>
            <x14:dxf>
              <font>
                <color theme="9" tint="0.79998168889431442"/>
              </font>
              <fill>
                <patternFill>
                  <bgColor theme="9" tint="0.79998168889431442"/>
                </patternFill>
              </fill>
              <border>
                <left/>
                <right/>
                <top/>
                <bottom/>
                <vertical/>
                <horizontal/>
              </border>
            </x14:dxf>
          </x14:cfRule>
          <xm:sqref>J175:K176</xm:sqref>
        </x14:conditionalFormatting>
        <x14:conditionalFormatting xmlns:xm="http://schemas.microsoft.com/office/excel/2006/main">
          <x14:cfRule type="expression" priority="29" id="{A224484C-F344-4862-B07C-F1FBE4F3D090}">
            <xm:f>IF(OR($J$202="",$J$202=BDD!$M$3),TRUE,FALSE)</xm:f>
            <x14:dxf>
              <font>
                <color theme="9" tint="0.79998168889431442"/>
              </font>
              <fill>
                <patternFill>
                  <bgColor theme="9" tint="0.79998168889431442"/>
                </patternFill>
              </fill>
              <border>
                <left/>
                <right/>
                <top/>
                <bottom/>
                <vertical/>
                <horizontal/>
              </border>
            </x14:dxf>
          </x14:cfRule>
          <xm:sqref>J204:K205</xm:sqref>
        </x14:conditionalFormatting>
        <x14:conditionalFormatting xmlns:xm="http://schemas.microsoft.com/office/excel/2006/main">
          <x14:cfRule type="expression" priority="28" id="{307AFBAD-D60D-4AB8-8C36-D8259FC0D16E}">
            <xm:f>IF(OR($J$238="",$J$238=BDD!$M$3),TRUE,FALSE)</xm:f>
            <x14:dxf>
              <font>
                <color theme="9" tint="0.79998168889431442"/>
              </font>
              <fill>
                <patternFill>
                  <bgColor theme="9" tint="0.79998168889431442"/>
                </patternFill>
              </fill>
              <border>
                <left/>
                <right/>
                <top/>
                <bottom/>
                <vertical/>
                <horizontal/>
              </border>
            </x14:dxf>
          </x14:cfRule>
          <xm:sqref>J240:K241</xm:sqref>
        </x14:conditionalFormatting>
        <x14:conditionalFormatting xmlns:xm="http://schemas.microsoft.com/office/excel/2006/main">
          <x14:cfRule type="expression" priority="27" id="{F1FD6968-AAF9-4E45-9979-91740A0AE4A2}">
            <xm:f>IF(OR($J$266="",$J$266=BDD!$M$3),TRUE,FALSE)</xm:f>
            <x14:dxf>
              <font>
                <color theme="9" tint="0.79998168889431442"/>
              </font>
              <fill>
                <patternFill>
                  <bgColor theme="9" tint="0.79998168889431442"/>
                </patternFill>
              </fill>
              <border>
                <left/>
                <right/>
                <top/>
                <bottom/>
                <vertical/>
                <horizontal/>
              </border>
            </x14:dxf>
          </x14:cfRule>
          <xm:sqref>J268:K269</xm:sqref>
        </x14:conditionalFormatting>
        <x14:conditionalFormatting xmlns:xm="http://schemas.microsoft.com/office/excel/2006/main">
          <x14:cfRule type="expression" priority="22" id="{E850422A-BE1D-42F7-BAD6-03317A28A1EF}">
            <xm:f>IF(OR($M$205=BDD!$M$3,$M$205=""),TRUE,FALSE)</xm:f>
            <x14:dxf>
              <font>
                <strike val="0"/>
                <color theme="9" tint="0.79998168889431442"/>
              </font>
              <fill>
                <patternFill>
                  <bgColor theme="9" tint="0.79998168889431442"/>
                </patternFill>
              </fill>
              <border>
                <left/>
                <right/>
                <top/>
                <bottom/>
                <vertical/>
                <horizontal/>
              </border>
            </x14:dxf>
          </x14:cfRule>
          <xm:sqref>M207:M208</xm:sqref>
        </x14:conditionalFormatting>
        <x14:conditionalFormatting xmlns:xm="http://schemas.microsoft.com/office/excel/2006/main">
          <x14:cfRule type="expression" priority="21" id="{5DCF4396-D486-42F3-AA65-DC44A00EDB42}">
            <xm:f>IF(OR($M$238=BDD!$M$3,$M$238=""),TRUE,FALSE)</xm:f>
            <x14:dxf>
              <font>
                <strike val="0"/>
                <color theme="9" tint="0.79998168889431442"/>
              </font>
              <fill>
                <patternFill>
                  <bgColor theme="9" tint="0.79998168889431442"/>
                </patternFill>
              </fill>
              <border>
                <left/>
                <right/>
                <top/>
                <bottom/>
                <vertical/>
                <horizontal/>
              </border>
            </x14:dxf>
          </x14:cfRule>
          <xm:sqref>M240:M241</xm:sqref>
        </x14:conditionalFormatting>
        <x14:conditionalFormatting xmlns:xm="http://schemas.microsoft.com/office/excel/2006/main">
          <x14:cfRule type="expression" priority="20" id="{F67C8A10-CB1A-4AE5-A619-627D33B1833E}">
            <xm:f>IF(OR($M$252=BDD!$M$3,$M$252=""),TRUE,FALSE)</xm:f>
            <x14:dxf>
              <font>
                <strike val="0"/>
                <color theme="6" tint="0.59996337778862885"/>
              </font>
              <fill>
                <patternFill>
                  <bgColor theme="6" tint="0.59996337778862885"/>
                </patternFill>
              </fill>
              <border>
                <left/>
                <right/>
                <top/>
                <bottom/>
                <vertical/>
                <horizontal/>
              </border>
            </x14:dxf>
          </x14:cfRule>
          <xm:sqref>M254:M255</xm:sqref>
        </x14:conditionalFormatting>
        <x14:conditionalFormatting xmlns:xm="http://schemas.microsoft.com/office/excel/2006/main">
          <x14:cfRule type="expression" priority="19" id="{EB81D420-BE72-4A0F-8EE9-54432ACB70BB}">
            <xm:f>IF(OR($M$266=BDD!$M$3,$M$266=""),TRUE,FALSE)</xm:f>
            <x14:dxf>
              <font>
                <strike val="0"/>
                <color theme="9" tint="0.79998168889431442"/>
              </font>
              <fill>
                <patternFill>
                  <bgColor theme="9" tint="0.79998168889431442"/>
                </patternFill>
              </fill>
              <border>
                <left/>
                <right/>
                <top/>
                <bottom/>
                <vertical/>
                <horizontal/>
              </border>
            </x14:dxf>
          </x14:cfRule>
          <xm:sqref>M268:M269</xm:sqref>
        </x14:conditionalFormatting>
        <x14:conditionalFormatting xmlns:xm="http://schemas.microsoft.com/office/excel/2006/main">
          <x14:cfRule type="expression" priority="15" id="{E20A252B-4519-48DF-A5F9-A88BF8A9F752}">
            <xm:f>IF(OR($J$218="",$J$218=BDD!$M$3),TRUE,FALSE)</xm:f>
            <x14:dxf>
              <font>
                <color theme="6" tint="0.59996337778862885"/>
              </font>
              <fill>
                <patternFill>
                  <bgColor theme="6" tint="0.59996337778862885"/>
                </patternFill>
              </fill>
              <border>
                <left/>
                <right/>
                <top/>
                <bottom/>
                <vertical/>
                <horizontal/>
              </border>
            </x14:dxf>
          </x14:cfRule>
          <xm:sqref>J223:K225</xm:sqref>
        </x14:conditionalFormatting>
      </x14:conditionalFormattings>
    </ext>
    <ext xmlns:x14="http://schemas.microsoft.com/office/spreadsheetml/2009/9/main" uri="{CCE6A557-97BC-4b89-ADB6-D9C93CAAB3DF}">
      <x14:dataValidations xmlns:xm="http://schemas.microsoft.com/office/excel/2006/main" count="36">
        <x14:dataValidation type="list" allowBlank="1" showInputMessage="1" showErrorMessage="1">
          <x14:formula1>
            <xm:f>BDD!$M$6:$M$10</xm:f>
          </x14:formula1>
          <xm:sqref>D4</xm:sqref>
        </x14:dataValidation>
        <x14:dataValidation type="list" allowBlank="1" showInputMessage="1" showErrorMessage="1">
          <x14:formula1>
            <xm:f>BDD!$BC$4:$BC$5</xm:f>
          </x14:formula1>
          <xm:sqref>J8:K8</xm:sqref>
        </x14:dataValidation>
        <x14:dataValidation type="list" allowBlank="1" showInputMessage="1" showErrorMessage="1">
          <x14:formula1>
            <xm:f>BDD!$CB$17:$CB$22</xm:f>
          </x14:formula1>
          <xm:sqref>J45:K45</xm:sqref>
        </x14:dataValidation>
        <x14:dataValidation type="list" allowBlank="1" showInputMessage="1" showErrorMessage="1">
          <x14:formula1>
            <xm:f>BDD!$M$2:$M$3</xm:f>
          </x14:formula1>
          <xm:sqref>J14:K14 K23:K24 J31:K31 J48:K48 K75:K76 K257:K258 K94:K95 K113:K114 J238 K165:K166 J202:K202 J266 M11 M202 J249 J252 J218 J263 M14 K39 K56:K57 K271:K272 J67 J86 J105 J124 J141:K141 J157:K157 J173:K173 K210:K211 K227 K243:K244 K133:K134 J189:K189 M205 J235 K149:K150 M8 M45 M199 M235 M249 M263 M238 M252 M266</xm:sqref>
        </x14:dataValidation>
        <x14:dataValidation type="list" allowBlank="1" showInputMessage="1" showErrorMessage="1">
          <x14:formula1>
            <xm:f>BDD!$BG$9:$BG$11</xm:f>
          </x14:formula1>
          <xm:sqref>J20:K20</xm:sqref>
        </x14:dataValidation>
        <x14:dataValidation type="list" allowBlank="1" showInputMessage="1" showErrorMessage="1">
          <x14:formula1>
            <xm:f>BDD!$BR$6:$BR$7</xm:f>
          </x14:formula1>
          <xm:sqref>J37:K37</xm:sqref>
        </x14:dataValidation>
        <x14:dataValidation type="list" allowBlank="1" showInputMessage="1" showErrorMessage="1">
          <x14:formula1>
            <xm:f>BDD!$CA$17:$CA$18</xm:f>
          </x14:formula1>
          <xm:sqref>J54:K54</xm:sqref>
        </x14:dataValidation>
        <x14:dataValidation type="list" allowBlank="1" showInputMessage="1" showErrorMessage="1">
          <x14:formula1>
            <xm:f>BDD!$BS$4</xm:f>
          </x14:formula1>
          <xm:sqref>J28:K28</xm:sqref>
        </x14:dataValidation>
        <x14:dataValidation type="list" allowBlank="1" showInputMessage="1" showErrorMessage="1">
          <x14:formula1>
            <xm:f>BDD!$BI$9:$BI$17</xm:f>
          </x14:formula1>
          <xm:sqref>J11:K11</xm:sqref>
        </x14:dataValidation>
        <x14:dataValidation type="list" allowBlank="1" showInputMessage="1" showErrorMessage="1">
          <x14:formula1>
            <xm:f>BDD!$J$2:$J$4</xm:f>
          </x14:formula1>
          <xm:sqref>H187 D45:D52 D61:D70 D80:D85 D99:D104 D118:D123 D138:D143 D154:D159 E199:E206 D171:D173 D187:D189 H171 M269 J17:K17 M17 J34:K34 D28:D41 J51:K51 J89:K89 J127:K127 J160:K160 J192:K192 J221:K221 J255:K255 J241:K241 J70:K70 J108:K108 J144:K144 J176:K176 J205:K205 J269:K269 D235:D242 D249:D256 D263:D270 D215:D228 M208 M241 M255 E8:E21</xm:sqref>
        </x14:dataValidation>
        <x14:dataValidation type="list" allowBlank="1" showInputMessage="1" showErrorMessage="1">
          <x14:formula1>
            <xm:f>BDD!$BG$15:$BG$16</xm:f>
          </x14:formula1>
          <xm:sqref>J21:K21</xm:sqref>
        </x14:dataValidation>
        <x14:dataValidation type="list" allowBlank="1" showInputMessage="1" showErrorMessage="1">
          <x14:formula1>
            <xm:f>BDD!#REF!</xm:f>
          </x14:formula1>
          <xm:sqref>J215:K215</xm:sqref>
        </x14:dataValidation>
        <x14:dataValidation type="list" allowBlank="1" showInputMessage="1" showErrorMessage="1">
          <x14:formula1>
            <xm:f>BDD!#REF!</xm:f>
          </x14:formula1>
          <xm:sqref>J199:K199</xm:sqref>
        </x14:dataValidation>
        <x14:dataValidation type="list" allowBlank="1" showInputMessage="1" showErrorMessage="1">
          <x14:formula1>
            <xm:f>BDD!#REF!</xm:f>
          </x14:formula1>
          <xm:sqref>J64:K64</xm:sqref>
        </x14:dataValidation>
        <x14:dataValidation type="list" allowBlank="1" showInputMessage="1" showErrorMessage="1">
          <x14:formula1>
            <xm:f>BDD!#REF!</xm:f>
          </x14:formula1>
          <xm:sqref>J83:K83</xm:sqref>
        </x14:dataValidation>
        <x14:dataValidation type="list" allowBlank="1" showInputMessage="1" showErrorMessage="1">
          <x14:formula1>
            <xm:f>BDD!#REF!</xm:f>
          </x14:formula1>
          <xm:sqref>J102:K102</xm:sqref>
        </x14:dataValidation>
        <x14:dataValidation type="list" allowBlank="1" showInputMessage="1" showErrorMessage="1">
          <x14:formula1>
            <xm:f>BDD!#REF!</xm:f>
          </x14:formula1>
          <xm:sqref>J73</xm:sqref>
        </x14:dataValidation>
        <x14:dataValidation type="list" allowBlank="1" showInputMessage="1" showErrorMessage="1">
          <x14:formula1>
            <xm:f>BDD!#REF!</xm:f>
          </x14:formula1>
          <xm:sqref>J92</xm:sqref>
        </x14:dataValidation>
        <x14:dataValidation type="list" allowBlank="1" showInputMessage="1" showErrorMessage="1">
          <x14:formula1>
            <xm:f>BDD!#REF!</xm:f>
          </x14:formula1>
          <xm:sqref>J111</xm:sqref>
        </x14:dataValidation>
        <x14:dataValidation type="list" allowBlank="1" showInputMessage="1" showErrorMessage="1">
          <x14:formula1>
            <xm:f>BDD!#REF!</xm:f>
          </x14:formula1>
          <xm:sqref>J130</xm:sqref>
        </x14:dataValidation>
        <x14:dataValidation type="list" allowBlank="1" showInputMessage="1" showErrorMessage="1">
          <x14:formula1>
            <xm:f>BDD!#REF!</xm:f>
          </x14:formula1>
          <xm:sqref>J131</xm:sqref>
        </x14:dataValidation>
        <x14:dataValidation type="list" allowBlank="1" showInputMessage="1" showErrorMessage="1">
          <x14:formula1>
            <xm:f>BDD!#REF!</xm:f>
          </x14:formula1>
          <xm:sqref>J147</xm:sqref>
        </x14:dataValidation>
        <x14:dataValidation type="list" allowBlank="1" showInputMessage="1" showErrorMessage="1">
          <x14:formula1>
            <xm:f>BDD!#REF!</xm:f>
          </x14:formula1>
          <xm:sqref>J163</xm:sqref>
        </x14:dataValidation>
        <x14:dataValidation type="list" allowBlank="1" showInputMessage="1" showErrorMessage="1">
          <x14:formula1>
            <xm:f>BDD!#REF!</xm:f>
          </x14:formula1>
          <xm:sqref>J208:K208</xm:sqref>
        </x14:dataValidation>
        <x14:dataValidation type="list" allowBlank="1" showInputMessage="1" showErrorMessage="1">
          <x14:formula1>
            <xm:f>BDD!#REF!</xm:f>
          </x14:formula1>
          <xm:sqref>J61:K61</xm:sqref>
        </x14:dataValidation>
        <x14:dataValidation type="list" allowBlank="1" showInputMessage="1" showErrorMessage="1">
          <x14:formula1>
            <xm:f>BDD!#REF!</xm:f>
          </x14:formula1>
          <xm:sqref>J121:K121</xm:sqref>
        </x14:dataValidation>
        <x14:dataValidation type="list" allowBlank="1" showInputMessage="1" showErrorMessage="1">
          <x14:formula1>
            <xm:f>BDD!#REF!</xm:f>
          </x14:formula1>
          <xm:sqref>J118:K118</xm:sqref>
        </x14:dataValidation>
        <x14:dataValidation type="list" allowBlank="1" showInputMessage="1" showErrorMessage="1">
          <x14:formula1>
            <xm:f>BDD!#REF!</xm:f>
          </x14:formula1>
          <xm:sqref>J80:K80</xm:sqref>
        </x14:dataValidation>
        <x14:dataValidation type="list" allowBlank="1" showInputMessage="1" showErrorMessage="1">
          <x14:formula1>
            <xm:f>BDD!#REF!</xm:f>
          </x14:formula1>
          <xm:sqref>J99:K99</xm:sqref>
        </x14:dataValidation>
        <x14:dataValidation type="list" allowBlank="1" showInputMessage="1" showErrorMessage="1">
          <x14:formula1>
            <xm:f>BDD!#REF!</xm:f>
          </x14:formula1>
          <xm:sqref>J224</xm:sqref>
        </x14:dataValidation>
        <x14:dataValidation type="list" allowBlank="1" showInputMessage="1" showErrorMessage="1">
          <x14:formula1>
            <xm:f>BDD!#REF!</xm:f>
          </x14:formula1>
          <xm:sqref>J225</xm:sqref>
        </x14:dataValidation>
        <x14:dataValidation type="list" allowBlank="1" showInputMessage="1" showErrorMessage="1">
          <x14:formula1>
            <xm:f>BDD!#REF!</xm:f>
          </x14:formula1>
          <xm:sqref>J138:K138</xm:sqref>
        </x14:dataValidation>
        <x14:dataValidation type="list" allowBlank="1" showInputMessage="1" showErrorMessage="1">
          <x14:formula1>
            <xm:f>BDD!#REF!</xm:f>
          </x14:formula1>
          <xm:sqref>J154:K154</xm:sqref>
        </x14:dataValidation>
        <x14:dataValidation type="list" allowBlank="1" showInputMessage="1" showErrorMessage="1">
          <x14:formula1>
            <xm:f>BDD!#REF!</xm:f>
          </x14:formula1>
          <xm:sqref>J170:K170</xm:sqref>
        </x14:dataValidation>
        <x14:dataValidation type="list" allowBlank="1" showInputMessage="1" showErrorMessage="1">
          <x14:formula1>
            <xm:f>BDD!#REF!</xm:f>
          </x14:formula1>
          <xm:sqref>J186:K186</xm:sqref>
        </x14:dataValidation>
        <x14:dataValidation type="list" allowBlank="1" showInputMessage="1" showErrorMessage="1">
          <x14:formula1>
            <xm:f>BDD!#REF!</xm:f>
          </x14:formula1>
          <xm:sqref>J179:K179</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20"/>
  <sheetViews>
    <sheetView zoomScaleNormal="100" workbookViewId="0">
      <selection activeCell="B6" sqref="B6"/>
    </sheetView>
  </sheetViews>
  <sheetFormatPr baseColWidth="10" defaultColWidth="9.140625" defaultRowHeight="12.75" x14ac:dyDescent="0.2"/>
  <cols>
    <col min="1" max="1" width="6.28515625" style="89" customWidth="1"/>
    <col min="2" max="2" width="42" style="89" bestFit="1" customWidth="1"/>
    <col min="3" max="4" width="14.7109375" style="89" customWidth="1"/>
    <col min="5" max="5" width="15.7109375" style="89" customWidth="1"/>
    <col min="6" max="8" width="14.7109375" style="89" customWidth="1"/>
    <col min="9" max="9" width="16.5703125" style="89" customWidth="1"/>
    <col min="10" max="10" width="10.85546875" style="89" customWidth="1"/>
    <col min="11" max="11" width="15.85546875" style="89" customWidth="1"/>
    <col min="12" max="12" width="20.42578125" style="89" customWidth="1"/>
    <col min="13" max="13" width="16.42578125" style="89" customWidth="1"/>
    <col min="14" max="14" width="9" style="15" customWidth="1"/>
    <col min="15" max="15" width="9.140625" style="15"/>
    <col min="16" max="18" width="11.28515625" style="15" bestFit="1" customWidth="1"/>
    <col min="19" max="19" width="10.140625" style="15" customWidth="1"/>
    <col min="20" max="26" width="10.140625" style="89" bestFit="1" customWidth="1"/>
    <col min="27" max="48" width="9.140625" style="89"/>
    <col min="49" max="49" width="20.7109375" style="89" bestFit="1" customWidth="1"/>
    <col min="50" max="51" width="9.140625" style="89"/>
    <col min="52" max="52" width="11.5703125" style="89" bestFit="1" customWidth="1"/>
    <col min="53" max="53" width="13.85546875" style="89" bestFit="1" customWidth="1"/>
    <col min="54" max="55" width="9.140625" style="89"/>
    <col min="56" max="56" width="12.5703125" style="89" customWidth="1"/>
    <col min="57" max="57" width="12" style="89" customWidth="1"/>
    <col min="58" max="58" width="12.5703125" style="89" customWidth="1"/>
    <col min="59" max="59" width="16.7109375" style="89" bestFit="1" customWidth="1"/>
    <col min="60" max="60" width="9.28515625" style="89" bestFit="1" customWidth="1"/>
    <col min="61" max="16384" width="9.140625" style="89"/>
  </cols>
  <sheetData>
    <row r="1" spans="1:26" s="15" customFormat="1" x14ac:dyDescent="0.2">
      <c r="A1" s="167"/>
      <c r="B1" s="75" t="s">
        <v>456</v>
      </c>
      <c r="C1" s="439" t="s">
        <v>92</v>
      </c>
      <c r="D1" s="440"/>
      <c r="E1" s="168"/>
      <c r="F1" s="169"/>
      <c r="G1" s="168"/>
      <c r="H1" s="168"/>
      <c r="I1" s="168"/>
      <c r="J1" s="170"/>
      <c r="K1" s="168"/>
      <c r="L1" s="168"/>
      <c r="M1" s="171"/>
      <c r="N1" s="171"/>
      <c r="O1" s="171"/>
      <c r="P1" s="171"/>
      <c r="Q1" s="171"/>
      <c r="R1" s="171"/>
      <c r="S1" s="171"/>
      <c r="T1" s="172"/>
      <c r="U1" s="173"/>
      <c r="V1" s="173"/>
      <c r="W1" s="173"/>
      <c r="X1" s="173"/>
      <c r="Y1" s="173"/>
      <c r="Z1" s="173"/>
    </row>
    <row r="2" spans="1:26" s="15" customFormat="1" x14ac:dyDescent="0.2">
      <c r="A2" s="174"/>
      <c r="B2" s="171"/>
      <c r="C2" s="171"/>
      <c r="D2" s="171"/>
      <c r="E2" s="171"/>
      <c r="F2" s="175"/>
      <c r="G2" s="171"/>
      <c r="H2" s="171"/>
      <c r="I2" s="171"/>
      <c r="J2" s="171"/>
      <c r="K2" s="171"/>
      <c r="L2" s="171"/>
      <c r="M2" s="171"/>
      <c r="N2" s="171"/>
      <c r="O2" s="171"/>
      <c r="P2" s="171"/>
      <c r="Q2" s="171"/>
      <c r="R2" s="171"/>
      <c r="S2" s="171"/>
      <c r="T2" s="176"/>
      <c r="U2" s="173"/>
      <c r="V2" s="173"/>
      <c r="W2" s="173"/>
      <c r="X2" s="173"/>
      <c r="Y2" s="173"/>
      <c r="Z2" s="173"/>
    </row>
    <row r="3" spans="1:26" s="15" customFormat="1" ht="12.75" customHeight="1" x14ac:dyDescent="0.2">
      <c r="A3" s="174"/>
      <c r="B3" s="441" t="s">
        <v>272</v>
      </c>
      <c r="C3" s="442"/>
      <c r="D3" s="443"/>
      <c r="E3" s="171"/>
      <c r="F3" s="177"/>
      <c r="G3" s="171"/>
      <c r="H3" s="171"/>
      <c r="I3" s="171"/>
      <c r="J3" s="171"/>
      <c r="K3" s="171"/>
      <c r="L3" s="171"/>
      <c r="M3" s="171"/>
      <c r="N3" s="171"/>
      <c r="O3" s="171"/>
      <c r="P3" s="171"/>
      <c r="Q3" s="171"/>
      <c r="R3" s="171"/>
      <c r="S3" s="171"/>
      <c r="T3" s="176"/>
      <c r="U3" s="173"/>
      <c r="V3" s="173"/>
      <c r="W3" s="173"/>
      <c r="X3" s="173"/>
      <c r="Y3" s="173"/>
      <c r="Z3" s="173"/>
    </row>
    <row r="4" spans="1:26" s="15" customFormat="1" x14ac:dyDescent="0.2">
      <c r="A4" s="174"/>
      <c r="B4" s="171"/>
      <c r="C4" s="171"/>
      <c r="D4" s="171"/>
      <c r="E4" s="171"/>
      <c r="F4" s="177"/>
      <c r="G4" s="171"/>
      <c r="H4" s="171"/>
      <c r="I4" s="171"/>
      <c r="J4" s="171"/>
      <c r="K4" s="171"/>
      <c r="L4" s="171"/>
      <c r="M4" s="171"/>
      <c r="N4" s="171"/>
      <c r="O4" s="171"/>
      <c r="P4" s="171"/>
      <c r="Q4" s="171"/>
      <c r="R4" s="171"/>
      <c r="S4" s="171"/>
      <c r="T4" s="176"/>
      <c r="U4" s="173"/>
      <c r="V4" s="173"/>
      <c r="W4" s="173"/>
      <c r="X4" s="173"/>
      <c r="Y4" s="173"/>
      <c r="Z4" s="173"/>
    </row>
    <row r="5" spans="1:26" s="15" customFormat="1" x14ac:dyDescent="0.2">
      <c r="A5" s="174"/>
      <c r="B5" s="253" t="s">
        <v>861</v>
      </c>
      <c r="C5" s="171"/>
      <c r="D5" s="171"/>
      <c r="E5" s="74"/>
      <c r="F5" s="171"/>
      <c r="G5" s="171"/>
      <c r="H5" s="171"/>
      <c r="I5" s="171"/>
      <c r="J5" s="171"/>
      <c r="K5" s="171"/>
      <c r="L5" s="171"/>
      <c r="M5" s="171"/>
      <c r="N5" s="171"/>
      <c r="O5" s="171"/>
      <c r="P5" s="171"/>
      <c r="Q5" s="171"/>
      <c r="R5" s="171"/>
      <c r="S5" s="171"/>
      <c r="T5" s="176"/>
      <c r="U5" s="173"/>
      <c r="V5" s="173"/>
      <c r="W5" s="173"/>
      <c r="X5" s="173"/>
      <c r="Y5" s="173"/>
      <c r="Z5" s="173"/>
    </row>
    <row r="6" spans="1:26" s="15" customFormat="1" ht="13.5" thickBot="1" x14ac:dyDescent="0.25">
      <c r="A6" s="174"/>
      <c r="B6" s="254" t="s">
        <v>837</v>
      </c>
      <c r="C6" s="171"/>
      <c r="D6" s="179"/>
      <c r="E6" s="179"/>
      <c r="F6" s="171"/>
      <c r="G6" s="171"/>
      <c r="H6" s="171"/>
      <c r="I6" s="171"/>
      <c r="J6" s="171"/>
      <c r="K6" s="171"/>
      <c r="L6" s="171"/>
      <c r="M6" s="171"/>
      <c r="N6" s="178"/>
      <c r="O6" s="171"/>
      <c r="P6" s="171"/>
      <c r="Q6" s="171"/>
      <c r="R6" s="171"/>
      <c r="S6" s="171"/>
      <c r="T6" s="176"/>
      <c r="U6" s="173"/>
      <c r="V6" s="173"/>
      <c r="W6" s="173"/>
      <c r="X6" s="173"/>
      <c r="Y6" s="173"/>
      <c r="Z6" s="173"/>
    </row>
    <row r="7" spans="1:26" s="15" customFormat="1" ht="13.5" thickBot="1" x14ac:dyDescent="0.25">
      <c r="A7" s="174"/>
      <c r="B7" s="179"/>
      <c r="C7" s="444" t="s">
        <v>698</v>
      </c>
      <c r="D7" s="445"/>
      <c r="E7" s="446"/>
      <c r="F7" s="447" t="s">
        <v>699</v>
      </c>
      <c r="G7" s="448"/>
      <c r="H7" s="449"/>
      <c r="I7" s="171"/>
      <c r="J7" s="171"/>
      <c r="K7" s="171"/>
      <c r="L7" s="171"/>
      <c r="M7" s="171"/>
      <c r="N7" s="178"/>
      <c r="O7" s="171"/>
      <c r="P7" s="171"/>
      <c r="Q7" s="171"/>
      <c r="R7" s="171"/>
      <c r="S7" s="171"/>
      <c r="T7" s="176"/>
      <c r="U7" s="173"/>
      <c r="V7" s="173"/>
      <c r="W7" s="173"/>
      <c r="X7" s="173"/>
      <c r="Y7" s="173"/>
      <c r="Z7" s="173"/>
    </row>
    <row r="8" spans="1:26" s="15" customFormat="1" ht="36" customHeight="1" thickBot="1" x14ac:dyDescent="0.25">
      <c r="A8" s="174"/>
      <c r="B8" s="180"/>
      <c r="C8" s="275" t="s">
        <v>833</v>
      </c>
      <c r="D8" s="275" t="s">
        <v>834</v>
      </c>
      <c r="E8" s="252" t="s">
        <v>835</v>
      </c>
      <c r="F8" s="251" t="s">
        <v>833</v>
      </c>
      <c r="G8" s="251" t="s">
        <v>834</v>
      </c>
      <c r="H8" s="252" t="s">
        <v>835</v>
      </c>
      <c r="I8" s="181"/>
      <c r="J8" s="7" t="s">
        <v>198</v>
      </c>
      <c r="K8" s="35" t="s">
        <v>199</v>
      </c>
      <c r="L8" s="74"/>
      <c r="M8" s="74"/>
      <c r="N8" s="171"/>
      <c r="O8" s="178"/>
      <c r="P8" s="178"/>
      <c r="Q8" s="178"/>
      <c r="R8" s="178"/>
      <c r="S8" s="178"/>
      <c r="T8" s="176"/>
      <c r="U8" s="173"/>
      <c r="V8" s="173"/>
      <c r="W8" s="173"/>
      <c r="X8" s="173"/>
      <c r="Y8" s="173"/>
      <c r="Z8" s="173"/>
    </row>
    <row r="9" spans="1:26" s="15" customFormat="1" x14ac:dyDescent="0.2">
      <c r="A9" s="174"/>
      <c r="B9" s="182" t="e">
        <f>IF(AND(AvoineNécessaireBQ=0,AvoineNécessaireMoQ=0,AvoineNécessaireMaQ=0),"","avoine (t)")</f>
        <v>#REF!</v>
      </c>
      <c r="C9" s="272" t="e">
        <f>(VLOOKUP("Avoine",AlimentsBovins,2,FALSE)+VLOOKUP("Avoine",AlimentsPorcins,2,FALSE)+VLOOKUP("Avoine",AlimentsCaprins,2,FALSE)+VLOOKUP("Avoine",AlimentsOvins,2,FALSE)+VLOOKUP("Avoine",AlimentsLapins,2,FALSE)+VLOOKUP("Avoine",AlimentsVolailles,2,FALSE)+VLOOKUP("Avoine",AlimentsPintades,2,FALSE)+VLOOKUP("Avoine",AlimentsOies,2,FALSE)+VLOOKUP("Avoine",AlimentsCanards,2,FALSE)+VLOOKUP("Avoine",AlimentsGavageOiesEtCanards,2,FALSE)+VLOOKUP("Avoine",AlimentsBisons,2,FALSE)+VLOOKUP("Avoine",AlimentsDaims,2,FALSE)+VLOOKUP("Avoine",AlimentsChevauxSelle,2,FALSE)+VLOOKUP("Avoine",AlimentsChevauxTrait,2,FALSE)+VLOOKUP("Avoine",AlimentsPoneys,2,FALSE))/1000</f>
        <v>#REF!</v>
      </c>
      <c r="D9" s="273" t="e">
        <f>(VLOOKUP("Avoine",AlimentsBovins,3,FALSE)+VLOOKUP("Avoine",AlimentsPorcins,3,FALSE)+VLOOKUP("Avoine",AlimentsCaprins,3,FALSE)+VLOOKUP("Avoine",AlimentsOvins,3,FALSE)+VLOOKUP("Avoine",AlimentsLapins,3,FALSE)+VLOOKUP("Avoine",AlimentsVolailles,3,FALSE)+VLOOKUP("Avoine",AlimentsPintades,3,FALSE)+VLOOKUP("Avoine",AlimentsOies,3,FALSE)+VLOOKUP("Avoine",AlimentsCanards,3,FALSE)+VLOOKUP("Avoine",AlimentsGavageOiesEtCanards,3,FALSE)+VLOOKUP("Avoine",AlimentsBisons,3,FALSE)+VLOOKUP("Avoine",AlimentsDaims,3,FALSE)+VLOOKUP("Avoine",AlimentsChevauxSelle,3,FALSE)+VLOOKUP("Avoine",AlimentsChevauxTrait,3,FALSE)+VLOOKUP("Avoine",AlimentsPoneys,3,FALSE))/1000</f>
        <v>#REF!</v>
      </c>
      <c r="E9" s="274" t="e">
        <f>(VLOOKUP("Avoine",AlimentsBovins,4,FALSE)+VLOOKUP("Avoine",AlimentsPorcins,4,FALSE)+VLOOKUP("Avoine",AlimentsCaprins,4,FALSE)+VLOOKUP("Avoine",AlimentsOvins,4,FALSE)+VLOOKUP("Avoine",AlimentsLapins,4,FALSE)+VLOOKUP("Avoine",AlimentsVolailles,4,FALSE)+VLOOKUP("Avoine",AlimentsPintades,4,FALSE)+VLOOKUP("Avoine",AlimentsOies,4,FALSE)+VLOOKUP("Avoine",AlimentsCanards,4,FALSE)+VLOOKUP("Avoine",AlimentsGavageOiesEtCanards,4,FALSE)+VLOOKUP("Avoine",AlimentsBisons,4,FALSE)+VLOOKUP("Avoine",AlimentsDaims,4,FALSE)+VLOOKUP("Avoine",AlimentsChevauxSelle,4,FALSE)+VLOOKUP("Avoine",AlimentsChevauxTrait,4,FALSE)+VLOOKUP("Avoine",AlimentsPoneys,4,FALSE))/1000</f>
        <v>#REF!</v>
      </c>
      <c r="F9" s="241" t="e">
        <f>IF(AvoineNécessaireBQ=0,,IF(AvoineNécessaireBQ-VLOOKUP(Avoine,StockDansSilos,3,FALSE)&lt;=0,0,ROUNDUP(AvoineNécessaireBQ-VLOOKUP(Avoine,StockDansSilos,3,FALSE),0)))</f>
        <v>#REF!</v>
      </c>
      <c r="G9" s="242" t="e">
        <f>IF(AvoineNécessaireMoQ=0,,IF(AvoineNécessaireMoQ-VLOOKUP(Avoine,StockDansSilos,3,FALSE)&lt;=0,0,ROUNDUP(AvoineNécessaireMoQ-VLOOKUP(Avoine,StockDansSilos,3,FALSE),0)))</f>
        <v>#REF!</v>
      </c>
      <c r="H9" s="243" t="e">
        <f>IF(AvoineNécessaireMaQ=0,,IF(AvoineNécessaireMaQ-VLOOKUP(Avoine,StockDansSilos,3,FALSE)&lt;0,0,ROUNDUP(AvoineNécessaireMaQ-VLOOKUP(Avoine,StockDansSilos,3,FALSE),0)))</f>
        <v>#REF!</v>
      </c>
      <c r="I9" s="181"/>
      <c r="J9" s="183"/>
      <c r="K9" s="184" t="e">
        <f>IF(AND(CommandeAvoineBQ=0,CommandeAvoineMoQ=0,CommandeAvoineMaQ=0),"",((PrixAvoine*CommandeAvoineBQ)+(PrixAvoine*CommandeAvoineMoQ*0.9)+(PrixAvoine*CommandeAvoineMaQ*0.8)))</f>
        <v>#REF!</v>
      </c>
      <c r="L9" s="181"/>
      <c r="M9" s="181"/>
      <c r="N9" s="171"/>
      <c r="O9" s="178"/>
      <c r="P9" s="178"/>
      <c r="Q9" s="178"/>
      <c r="R9" s="178"/>
      <c r="S9" s="178"/>
      <c r="T9" s="176"/>
      <c r="U9" s="173"/>
      <c r="V9" s="173"/>
      <c r="W9" s="173"/>
      <c r="X9" s="173"/>
      <c r="Y9" s="173"/>
      <c r="Z9" s="173"/>
    </row>
    <row r="10" spans="1:26" s="15" customFormat="1" x14ac:dyDescent="0.2">
      <c r="A10" s="174"/>
      <c r="B10" s="185" t="e">
        <f>IF(AND(BetteraveNécessaireBQ=0,BetteraveNécessaireMoQ=0,BetteraveNécessaireMaQ=0),"","betterave (t)")</f>
        <v>#REF!</v>
      </c>
      <c r="C10" s="255" t="e">
        <f>(VLOOKUP("Betterave",AlimentsBovins,2,FALSE)+VLOOKUP("Betterave",AlimentsPorcins,2,FALSE)+VLOOKUP("Betterave",AlimentsCaprins,2,FALSE)+VLOOKUP("Betterave",AlimentsOvins,2,FALSE)+VLOOKUP("Betterave",AlimentsLapins,2,FALSE)+VLOOKUP("Betterave",AlimentsVolailles,2,FALSE)+VLOOKUP("Betterave",AlimentsPintades,2,FALSE)+VLOOKUP("Betterave",AlimentsOies,2,FALSE)+VLOOKUP("Betterave",AlimentsCanards,2,FALSE)+VLOOKUP("Betterave",AlimentsGavageOiesEtCanards,2,FALSE)+VLOOKUP("Betterave",AlimentsBisons,2,FALSE)+VLOOKUP("Betterave",AlimentsDaims,2,FALSE)+VLOOKUP("Betterave",AlimentsChevauxSelle,2,FALSE)+VLOOKUP("Betterave",AlimentsChevauxTrait,2,FALSE)+VLOOKUP("Betterave",AlimentsPoneys,2,FALSE))/1000</f>
        <v>#REF!</v>
      </c>
      <c r="D10" s="260" t="e">
        <f>(VLOOKUP("Betterave",AlimentsBovins,3,FALSE)+VLOOKUP("Betterave",AlimentsPorcins,3,FALSE)+VLOOKUP("Betterave",AlimentsCaprins,3,FALSE)+VLOOKUP("Betterave",AlimentsOvins,3,FALSE)+VLOOKUP("Betterave",AlimentsLapins,3,FALSE)+VLOOKUP("Betterave",AlimentsVolailles,3,FALSE)+VLOOKUP("Betterave",AlimentsPintades,3,FALSE)+VLOOKUP("Betterave",AlimentsOies,3,FALSE)+VLOOKUP("Betterave",AlimentsCanards,3,FALSE)+VLOOKUP("Betterave",AlimentsGavageOiesEtCanards,3,FALSE)+VLOOKUP("Betterave",AlimentsBisons,3,FALSE)+VLOOKUP("Betterave",AlimentsDaims,3,FALSE)+VLOOKUP("Betterave",AlimentsChevauxSelle,3,FALSE)+VLOOKUP("Betterave",AlimentsChevauxTrait,3,FALSE)+VLOOKUP("Betterave",AlimentsPoneys,3,FALSE))/1000</f>
        <v>#REF!</v>
      </c>
      <c r="E10" s="261" t="e">
        <f>(VLOOKUP("Betterave",AlimentsBovins,4,FALSE)+VLOOKUP("Betterave",AlimentsPorcins,4,FALSE)+VLOOKUP("Betterave",AlimentsCaprins,4,FALSE)+VLOOKUP("Betterave",AlimentsOvins,4,FALSE)+VLOOKUP("Betterave",AlimentsLapins,4,FALSE)+VLOOKUP("Betterave",AlimentsVolailles,4,FALSE)+VLOOKUP("Betterave",AlimentsPintades,4,FALSE)+VLOOKUP("Betterave",AlimentsOies,4,FALSE)+VLOOKUP("Betterave",AlimentsCanards,4,FALSE)+VLOOKUP("Betterave",AlimentsGavageOiesEtCanards,4,FALSE)+VLOOKUP("Betterave",AlimentsBisons,4,FALSE)+VLOOKUP("Betterave",AlimentsDaims,4,FALSE)+VLOOKUP("Betterave",AlimentsChevauxSelle,4,FALSE)+VLOOKUP("Betterave",AlimentsChevauxTrait,4,FALSE)+VLOOKUP("Betterave",AlimentsPoneys,4,FALSE))/1000</f>
        <v>#REF!</v>
      </c>
      <c r="F10" s="244" t="e">
        <f>IF(BetteraveNécessaireBQ=0,,IF(BetteraveNécessaireBQ-VLOOKUP(Betterave,StockDansSilos,3,FALSE)&lt;=0,0,ROUNDUP(BetteraveNécessaireBQ-VLOOKUP(Betterave,StockDansSilos,3,FALSE),0)))</f>
        <v>#REF!</v>
      </c>
      <c r="G10" s="240" t="e">
        <f>IF(BetteraveNécessaireMoQ=0,,IF(BetteraveNécessaireMoQ-VLOOKUP(Betterave,StockDansSilos,3,FALSE)&lt;=0,0,ROUNDUP(BetteraveNécessaireMoQ-VLOOKUP(Betterave,StockDansSilos,3,FALSE),0)))</f>
        <v>#REF!</v>
      </c>
      <c r="H10" s="245" t="e">
        <f>IF(BetteraveNécessaireMaQ=0,,IF(BetteraveNécessaireMaQ-VLOOKUP(Betterave,StockDansSilos,3,FALSE)&lt;0,0,ROUNDUP(BetteraveNécessaireMaQ-VLOOKUP(Betterave,StockDansSilos,3,FALSE),0)))</f>
        <v>#REF!</v>
      </c>
      <c r="I10" s="181"/>
      <c r="J10" s="186"/>
      <c r="K10" s="165" t="e">
        <f>IF(AND(CommandeBetteraveBQ=0,CommandeBetteraveMoQ=0,CommandeBetteraveMaQ=0),"",((PrixBetterave*CommandeBetteraveBQ)+(PrixBetterave*CommandeBetteraveMoQ*0.9)+(PrixBetterave*CommandeBetteraveMaQ*0.8)))</f>
        <v>#REF!</v>
      </c>
      <c r="L10" s="181"/>
      <c r="M10" s="181"/>
      <c r="N10" s="171"/>
      <c r="O10" s="178"/>
      <c r="P10" s="178"/>
      <c r="Q10" s="178"/>
      <c r="R10" s="178"/>
      <c r="S10" s="178"/>
      <c r="T10" s="176"/>
      <c r="U10" s="173"/>
      <c r="V10" s="173"/>
      <c r="W10" s="173"/>
      <c r="X10" s="173"/>
      <c r="Y10" s="173"/>
      <c r="Z10" s="173"/>
    </row>
    <row r="11" spans="1:26" s="15" customFormat="1" x14ac:dyDescent="0.2">
      <c r="A11" s="174"/>
      <c r="B11" s="187" t="e">
        <f>IF(AND(BléNécessaireBQ=0,BléNécessaireMoQ=0,BléNécessaireMaQ=0),"","blé (t)")</f>
        <v>#REF!</v>
      </c>
      <c r="C11" s="256" t="e">
        <f>(VLOOKUP("Blé",AlimentsBovins,2,FALSE)+VLOOKUP("Blé",AlimentsPorcins,2,FALSE)+VLOOKUP("Blé",AlimentsCaprins,2,FALSE)+VLOOKUP("Blé",AlimentsOvins,2,FALSE)+VLOOKUP("Blé",AlimentsLapins,2,FALSE)+VLOOKUP("Blé",AlimentsVolailles,2,FALSE)+VLOOKUP("Blé",AlimentsPintades,2,FALSE)+VLOOKUP("Blé",AlimentsOies,2,FALSE)+VLOOKUP("Blé",AlimentsCanards,2,FALSE)+VLOOKUP("Blé",AlimentsGavageOiesEtCanards,2,FALSE)+VLOOKUP("Blé",AlimentsBisons,2,FALSE)+VLOOKUP("Blé",AlimentsDaims,2,FALSE)+VLOOKUP("Blé",AlimentsChevauxSelle,2,FALSE)+VLOOKUP("Blé",AlimentsChevauxTrait,2,FALSE)+VLOOKUP("Blé",AlimentsPoneys,2,FALSE))/1000</f>
        <v>#REF!</v>
      </c>
      <c r="D11" s="262" t="e">
        <f>(VLOOKUP("Blé",AlimentsBovins,3,FALSE)+VLOOKUP("Blé",AlimentsPorcins,3,FALSE)+VLOOKUP("Blé",AlimentsCaprins,3,FALSE)+VLOOKUP("Blé",AlimentsOvins,3,FALSE)+VLOOKUP("Blé",AlimentsLapins,3,FALSE)+VLOOKUP("Blé",AlimentsVolailles,3,FALSE)+VLOOKUP("Blé",AlimentsPintades,3,FALSE)+VLOOKUP("Blé",AlimentsOies,3,FALSE)+VLOOKUP("Blé",AlimentsCanards,3,FALSE)+VLOOKUP("Blé",AlimentsGavageOiesEtCanards,3,FALSE)+VLOOKUP("Blé",AlimentsBisons,3,FALSE)+VLOOKUP("Blé",AlimentsDaims,3,FALSE)+VLOOKUP("Blé",AlimentsChevauxSelle,3,FALSE)+VLOOKUP("Blé",AlimentsChevauxTrait,3,FALSE)+VLOOKUP("Blé",AlimentsPoneys,3,FALSE))/1000</f>
        <v>#REF!</v>
      </c>
      <c r="E11" s="263" t="e">
        <f>(VLOOKUP("Blé",AlimentsBovins,4,FALSE)+VLOOKUP("Blé",AlimentsPorcins,4,FALSE)+VLOOKUP("Blé",AlimentsCaprins,4,FALSE)+VLOOKUP("Blé",AlimentsOvins,4,FALSE)+VLOOKUP("Blé",AlimentsLapins,4,FALSE)+VLOOKUP("Blé",AlimentsVolailles,4,FALSE)+VLOOKUP("Blé",AlimentsPintades,4,FALSE)+VLOOKUP("Blé",AlimentsOies,4,FALSE)+VLOOKUP("Blé",AlimentsCanards,4,FALSE)+VLOOKUP("Blé",AlimentsGavageOiesEtCanards,4,FALSE)+VLOOKUP("Blé",AlimentsBisons,4,FALSE)+VLOOKUP("Blé",AlimentsDaims,4,FALSE)+VLOOKUP("Blé",AlimentsChevauxSelle,4,FALSE)+VLOOKUP("Blé",AlimentsChevauxTrait,4,FALSE)+VLOOKUP("Blé",AlimentsPoneys,4,FALSE))/1000</f>
        <v>#REF!</v>
      </c>
      <c r="F11" s="246" t="e">
        <f>IF(BléNécessaireBQ=0,,IF(BléNécessaireBQ-VLOOKUP(Blé,StockDansSilos,3,FALSE)&lt;=0,0,ROUNDUP(BléNécessaireBQ-VLOOKUP(Blé,StockDansSilos,3,FALSE),0)))</f>
        <v>#REF!</v>
      </c>
      <c r="G11" s="239" t="e">
        <f>IF(BléNécessaireMoQ=0,,IF(BléNécessaireMoQ-VLOOKUP(Blé,StockDansSilos,3,FALSE)&lt;=0,0,ROUNDUP(BléNécessaireMoQ-VLOOKUP(Blé,StockDansSilos,3,FALSE),0)))</f>
        <v>#REF!</v>
      </c>
      <c r="H11" s="247" t="e">
        <f>IF(BléNécessaireMaQ=0,,IF(BléNécessaireMaQ-VLOOKUP(Blé,StockDansSilos,3,FALSE)&lt;=0,0,ROUNDUP(BléNécessaireMaQ-VLOOKUP(Blé,StockDansSilos,3,FALSE),0)))</f>
        <v>#REF!</v>
      </c>
      <c r="I11" s="181"/>
      <c r="J11" s="188"/>
      <c r="K11" s="189" t="e">
        <f>IF(AND(CommandeBléBQ=0,CommandeBléMoQ=0,CommandeBléMaQ=0),"",((PrixBlé*CommandeBléBQ)+(PrixBlé*CommandeBléMoQ*0.9)+(PrixBlé*CommandeBléMaQ*0.8)))</f>
        <v>#REF!</v>
      </c>
      <c r="L11" s="181"/>
      <c r="M11" s="181"/>
      <c r="N11" s="171"/>
      <c r="O11" s="178"/>
      <c r="P11" s="178"/>
      <c r="Q11" s="178"/>
      <c r="R11" s="178"/>
      <c r="S11" s="178"/>
      <c r="T11" s="176"/>
      <c r="U11" s="173"/>
      <c r="V11" s="173"/>
      <c r="W11" s="173"/>
      <c r="X11" s="173"/>
      <c r="Y11" s="173"/>
      <c r="Z11" s="173"/>
    </row>
    <row r="12" spans="1:26" s="15" customFormat="1" x14ac:dyDescent="0.2">
      <c r="A12" s="174"/>
      <c r="B12" s="185" t="e">
        <f>IF(AND(BouchonsLuzerneNécessaireBQ=0,BouchonsLuzerneNécessaireMoQ=0,BouchonsLuzerneNécessaireMaQ=0),"","bouchons de luzerne (t)")</f>
        <v>#REF!</v>
      </c>
      <c r="C12" s="255" t="e">
        <f>(VLOOKUP("Bouchons luzerne",AlimentsBovins,2,FALSE)+VLOOKUP("Bouchons luzerne",AlimentsPorcins,2,FALSE)+VLOOKUP("Bouchons luzerne",AlimentsCaprins,2,FALSE)+VLOOKUP("Bouchons luzerne",AlimentsOvins,2,FALSE)+VLOOKUP("Bouchons luzerne",AlimentsLapins,2,FALSE)+VLOOKUP("Bouchons luzerne",AlimentsVolailles,2,FALSE)+VLOOKUP("Bouchons luzerne",AlimentsPintades,2,FALSE)+VLOOKUP("Bouchons luzerne",AlimentsOies,2,FALSE)+VLOOKUP("Bouchons luzerne",AlimentsCanards,2,FALSE)+VLOOKUP("Bouchons luzerne",AlimentsGavageOiesEtCanards,2,FALSE)+VLOOKUP("Bouchons luzerne",AlimentsBisons,2,FALSE)+VLOOKUP("Bouchons luzerne",AlimentsDaims,2,FALSE)+VLOOKUP("Bouchons luzerne",AlimentsChevauxSelle,2,FALSE)+VLOOKUP("Bouchons luzerne",AlimentsChevauxTrait,2,FALSE)+VLOOKUP("Bouchons luzerne",AlimentsPoneys,2,FALSE))/1000</f>
        <v>#REF!</v>
      </c>
      <c r="D12" s="260" t="e">
        <f>(VLOOKUP("Bouchons luzerne",AlimentsBovins,3,FALSE)+VLOOKUP("Bouchons luzerne",AlimentsPorcins,3,FALSE)+VLOOKUP("Bouchons luzerne",AlimentsCaprins,3,FALSE)+VLOOKUP("Bouchons luzerne",AlimentsOvins,3,FALSE)+VLOOKUP("Bouchons luzerne",AlimentsLapins,3,FALSE)+VLOOKUP("Bouchons luzerne",AlimentsVolailles,3,FALSE)+VLOOKUP("Bouchons luzerne",AlimentsPintades,3,FALSE)+VLOOKUP("Bouchons luzerne",AlimentsOies,3,FALSE)+VLOOKUP("Bouchons luzerne",AlimentsCanards,3,FALSE)+VLOOKUP("Bouchons luzerne",AlimentsGavageOiesEtCanards,3,FALSE)+VLOOKUP("Bouchons luzerne",AlimentsBisons,3,FALSE)+VLOOKUP("Bouchons luzerne",AlimentsDaims,3,FALSE)+VLOOKUP("Bouchons luzerne",AlimentsChevauxSelle,3,FALSE)+VLOOKUP("Bouchons luzerne",AlimentsChevauxTrait,3,FALSE)+VLOOKUP("Bouchons luzerne",AlimentsPoneys,3,FALSE))/1000</f>
        <v>#REF!</v>
      </c>
      <c r="E12" s="261" t="e">
        <f>(VLOOKUP("Bouchons luzerne",AlimentsBovins,4,FALSE)+VLOOKUP("Bouchons luzerne",AlimentsPorcins,4,FALSE)+VLOOKUP("Bouchons luzerne",AlimentsCaprins,4,FALSE)+VLOOKUP("Bouchons luzerne",AlimentsOvins,4,FALSE)+VLOOKUP("Bouchons luzerne",AlimentsLapins,4,FALSE)+VLOOKUP("Bouchons luzerne",AlimentsVolailles,4,FALSE)+VLOOKUP("Bouchons luzerne",AlimentsPintades,4,FALSE)+VLOOKUP("Bouchons luzerne",AlimentsOies,4,FALSE)+VLOOKUP("Bouchons luzerne",AlimentsCanards,4,FALSE)+VLOOKUP("Bouchons luzerne",AlimentsGavageOiesEtCanards,4,FALSE)+VLOOKUP("Bouchons luzerne",AlimentsBisons,4,FALSE)+VLOOKUP("Bouchons luzerne",AlimentsDaims,4,FALSE)+VLOOKUP("Bouchons luzerne",AlimentsChevauxSelle,4,FALSE)+VLOOKUP("Bouchons luzerne",AlimentsChevauxTrait,4,FALSE)+VLOOKUP("Bouchons luzerne",AlimentsPoneys,4,FALSE))/1000</f>
        <v>#REF!</v>
      </c>
      <c r="F12" s="244" t="e">
        <f>IF(BouchonsLuzerneNécessaireBQ=0,,IF(BouchonsLuzerneNécessaireBQ-VLOOKUP(BouchonsLuzerne,StockDansSilos,3,FALSE)&lt;=0,0,ROUNDUP(BouchonsLuzerneNécessaireBQ-VLOOKUP(BouchonsLuzerne,StockDansSilos,3,FALSE),0)))</f>
        <v>#REF!</v>
      </c>
      <c r="G12" s="240" t="e">
        <f>IF(BouchonsLuzerneNécessaireMoQ=0,,IF(BouchonsLuzerneNécessaireMoQ-VLOOKUP(BouchonsLuzerne,StockDansSilos,3,FALSE)&lt;=0,0,ROUNDUP(BouchonsLuzerneNécessaireMoQ-VLOOKUP(BouchonsLuzerne,StockDansSilos,3,FALSE),0)))</f>
        <v>#REF!</v>
      </c>
      <c r="H12" s="245" t="e">
        <f>IF(BouchonsLuzerneNécessaireMaQ=0,,IF(BouchonsLuzerneNécessaireMaQ-VLOOKUP(BouchonsLuzerne,StockDansSilos,3,FALSE)&lt;=0,0,ROUNDUP(BouchonsLuzerneNécessaireMaQ-VLOOKUP(BouchonsLuzerne,StockDansSilos,3,FALSE),0)))</f>
        <v>#REF!</v>
      </c>
      <c r="I12" s="181"/>
      <c r="J12" s="186"/>
      <c r="K12" s="165" t="e">
        <f>IF(AND(CommandeBouchonLuzerneBQ=0,CommandeBouchonLuzerneMoQ=0,CommandeBouchonLuzerneMaQ=0),"",((PrixBouchonLuzerne*CommandeBouchonLuzerneBQ)+(PrixBouchonLuzerne*CommandeBouchonLuzerneMoQ*0.9)+(PrixBouchonLuzerne*CommandeBouchonLuzerneMaQ*0.8)))</f>
        <v>#REF!</v>
      </c>
      <c r="L12" s="181"/>
      <c r="M12" s="181"/>
      <c r="N12" s="171"/>
      <c r="O12" s="178"/>
      <c r="P12" s="178"/>
      <c r="Q12" s="178"/>
      <c r="R12" s="178"/>
      <c r="S12" s="178"/>
      <c r="T12" s="176"/>
      <c r="U12" s="173"/>
      <c r="V12" s="173"/>
      <c r="W12" s="173"/>
      <c r="X12" s="173"/>
      <c r="Y12" s="173"/>
      <c r="Z12" s="173"/>
    </row>
    <row r="13" spans="1:26" s="15" customFormat="1" x14ac:dyDescent="0.2">
      <c r="A13" s="174"/>
      <c r="B13" s="187" t="e">
        <f>IF(AND(CanolaNécessaireBQ=0,CanolaNécessaireMoQ=0,CanolaNécessaireMaQ=0),"","canola (t)")</f>
        <v>#REF!</v>
      </c>
      <c r="C13" s="256" t="e">
        <f>(VLOOKUP("Canola",AlimentsBovins,2,FALSE)+VLOOKUP("Canola",AlimentsPorcins,2,FALSE)+VLOOKUP("Canola",AlimentsCaprins,2,FALSE)+VLOOKUP("Canola",AlimentsOvins,2,FALSE)+VLOOKUP("Canola",AlimentsLapins,2,FALSE)+VLOOKUP("Canola",AlimentsVolailles,2,FALSE)+VLOOKUP("Canola",AlimentsPintades,2,FALSE)+VLOOKUP("Canola",AlimentsOies,2,FALSE)+VLOOKUP("Canola",AlimentsCanards,2,FALSE)+VLOOKUP("Canola",AlimentsGavageOiesEtCanards,2,FALSE)+VLOOKUP("Canola",AlimentsBisons,2,FALSE)+VLOOKUP("Canola",AlimentsDaims,2,FALSE)+VLOOKUP("Canola",AlimentsChevauxSelle,2,FALSE)+VLOOKUP("Canola",AlimentsChevauxTrait,2,FALSE)+VLOOKUP("Canola",AlimentsPoneys,2,FALSE))/1000</f>
        <v>#REF!</v>
      </c>
      <c r="D13" s="262" t="e">
        <f>(VLOOKUP("Canola",AlimentsBovins,3,FALSE)+VLOOKUP("Canola",AlimentsPorcins,3,FALSE)+VLOOKUP("Canola",AlimentsCaprins,3,FALSE)+VLOOKUP("Canola",AlimentsOvins,3,FALSE)+VLOOKUP("Canola",AlimentsLapins,3,FALSE)+VLOOKUP("Canola",AlimentsVolailles,3,FALSE)+VLOOKUP("Canola",AlimentsPintades,3,FALSE)+VLOOKUP("Canola",AlimentsOies,3,FALSE)+VLOOKUP("Canola",AlimentsCanards,3,FALSE)+VLOOKUP("Canola",AlimentsGavageOiesEtCanards,3,FALSE)+VLOOKUP("Canola",AlimentsBisons,3,FALSE)+VLOOKUP("Canola",AlimentsDaims,3,FALSE)+VLOOKUP("Canola",AlimentsChevauxSelle,3,FALSE)+VLOOKUP("Canola",AlimentsChevauxTrait,3,FALSE)+VLOOKUP("Canola",AlimentsPoneys,3,FALSE))/1000</f>
        <v>#REF!</v>
      </c>
      <c r="E13" s="263" t="e">
        <f>(VLOOKUP("Canola",AlimentsBovins,4,FALSE)+VLOOKUP("Canola",AlimentsPorcins,4,FALSE)+VLOOKUP("Canola",AlimentsCaprins,4,FALSE)+VLOOKUP("Canola",AlimentsOvins,4,FALSE)+VLOOKUP("Canola",AlimentsLapins,4,FALSE)+VLOOKUP("Canola",AlimentsVolailles,4,FALSE)+VLOOKUP("Canola",AlimentsPintades,4,FALSE)+VLOOKUP("Canola",AlimentsOies,4,FALSE)+VLOOKUP("Canola",AlimentsCanards,4,FALSE)+VLOOKUP("Canola",AlimentsGavageOiesEtCanards,4,FALSE)+VLOOKUP("Canola",AlimentsBisons,4,FALSE)+VLOOKUP("Canola",AlimentsDaims,4,FALSE)+VLOOKUP("Canola",AlimentsChevauxSelle,4,FALSE)+VLOOKUP("Canola",AlimentsChevauxTrait,4,FALSE)+VLOOKUP("Canola",AlimentsPoneys,4,FALSE))/1000</f>
        <v>#REF!</v>
      </c>
      <c r="F13" s="246" t="e">
        <f>IF(CanolaNécessaireBQ=0,,IF(CanolaNécessaireBQ-VLOOKUP(Canola,StockDansSilos,3,FALSE)&lt;=0,0,ROUNDUP(CanolaNécessaireBQ-VLOOKUP(Canola,StockDansSilos,3,FALSE),0)))</f>
        <v>#REF!</v>
      </c>
      <c r="G13" s="239" t="e">
        <f>IF(CanolaNécessaireMoQ=0,,IF(CanolaNécessaireMoQ-VLOOKUP(Canola,StockDansSilos,3,FALSE)&lt;=0,0,ROUNDUP(CanolaNécessaireMoQ-VLOOKUP(Canola,StockDansSilos,3,FALSE),0)))</f>
        <v>#REF!</v>
      </c>
      <c r="H13" s="247" t="e">
        <f>IF(CanolaNécessaireMaQ=0,,IF(CanolaNécessaireMaQ-VLOOKUP(Canola,StockDansSilos,3,FALSE)&lt;=0,0,ROUNDUP(CanolaNécessaireMaQ-VLOOKUP(Canola,StockDansSilos,3,FALSE),0)))</f>
        <v>#REF!</v>
      </c>
      <c r="I13" s="181"/>
      <c r="J13" s="188"/>
      <c r="K13" s="189" t="e">
        <f>IF(AND(CommandeCanolaBQ=0,CommandeCanolaMoQ=0,CommandeCanolaMaQ=0),"",((PrixCanola*CommandeCanolaBQ)+(PrixCanola*CommandeCanolaMoQ*0.9)+(PrixCanola*CommandeCanolaMaQ*0.8)))</f>
        <v>#REF!</v>
      </c>
      <c r="L13" s="181"/>
      <c r="M13" s="181"/>
      <c r="N13" s="171"/>
      <c r="O13" s="178"/>
      <c r="P13" s="178"/>
      <c r="Q13" s="178"/>
      <c r="R13" s="178"/>
      <c r="S13" s="178"/>
      <c r="T13" s="176"/>
      <c r="U13" s="173"/>
      <c r="V13" s="173"/>
      <c r="W13" s="173"/>
      <c r="X13" s="173"/>
      <c r="Y13" s="173"/>
      <c r="Z13" s="173"/>
    </row>
    <row r="14" spans="1:26" s="15" customFormat="1" x14ac:dyDescent="0.2">
      <c r="A14" s="174"/>
      <c r="B14" s="185" t="e">
        <f>IF(AND(ColzaNécessaireBQ=0,ColzaNécessaireMoQ=0,ColzaNécessaireMaQ=0),"","colza (t)")</f>
        <v>#REF!</v>
      </c>
      <c r="C14" s="255" t="e">
        <f>(VLOOKUP("Colza",AlimentsBovins,2,FALSE)+VLOOKUP("Colza",AlimentsPorcins,2,FALSE)+VLOOKUP("Colza",AlimentsCaprins,2,FALSE)+VLOOKUP("Colza",AlimentsOvins,2,FALSE)+VLOOKUP("Colza",AlimentsLapins,2,FALSE)+VLOOKUP("Colza",AlimentsVolailles,2,FALSE)+VLOOKUP("Colza",AlimentsPintades,2,FALSE)+VLOOKUP("Colza",AlimentsOies,2,FALSE)+VLOOKUP("Colza",AlimentsCanards,2,FALSE)+VLOOKUP("Colza",AlimentsGavageOiesEtCanards,2,FALSE)+VLOOKUP("Colza",AlimentsBisons,2,FALSE)+VLOOKUP("Colza",AlimentsDaims,2,FALSE)+VLOOKUP("Colza",AlimentsChevauxSelle,2,FALSE)+VLOOKUP("Colza",AlimentsChevauxTrait,2,FALSE)+VLOOKUP("Colza",AlimentsPoneys,2,FALSE))/1000</f>
        <v>#REF!</v>
      </c>
      <c r="D14" s="260" t="e">
        <f>(VLOOKUP("Colza",AlimentsBovins,3,FALSE)+VLOOKUP("Colza",AlimentsPorcins,3,FALSE)+VLOOKUP("Colza",AlimentsCaprins,3,FALSE)+VLOOKUP("Colza",AlimentsOvins,3,FALSE)+VLOOKUP("Colza",AlimentsLapins,3,FALSE)+VLOOKUP("Colza",AlimentsVolailles,3,FALSE)+VLOOKUP("Colza",AlimentsPintades,3,FALSE)+VLOOKUP("Colza",AlimentsOies,3,FALSE)+VLOOKUP("Colza",AlimentsCanards,3,FALSE)+VLOOKUP("Colza",AlimentsGavageOiesEtCanards,3,FALSE)+VLOOKUP("Colza",AlimentsBisons,3,FALSE)+VLOOKUP("Colza",AlimentsDaims,3,FALSE)+VLOOKUP("Colza",AlimentsChevauxSelle,3,FALSE)+VLOOKUP("Colza",AlimentsChevauxTrait,3,FALSE)+VLOOKUP("Colza",AlimentsPoneys,3,FALSE))/1000</f>
        <v>#REF!</v>
      </c>
      <c r="E14" s="261" t="e">
        <f>(VLOOKUP("Colza",AlimentsBovins,4,FALSE)+VLOOKUP("Colza",AlimentsPorcins,4,FALSE)+VLOOKUP("Colza",AlimentsCaprins,4,FALSE)+VLOOKUP("Colza",AlimentsOvins,4,FALSE)+VLOOKUP("Colza",AlimentsLapins,4,FALSE)+VLOOKUP("Colza",AlimentsVolailles,4,FALSE)+VLOOKUP("Colza",AlimentsPintades,4,FALSE)+VLOOKUP("Colza",AlimentsOies,4,FALSE)+VLOOKUP("Colza",AlimentsCanards,4,FALSE)+VLOOKUP("Colza",AlimentsGavageOiesEtCanards,4,FALSE)+VLOOKUP("Colza",AlimentsBisons,4,FALSE)+VLOOKUP("Colza",AlimentsDaims,4,FALSE)+VLOOKUP("Colza",AlimentsChevauxSelle,4,FALSE)+VLOOKUP("Colza",AlimentsChevauxTrait,4,FALSE)+VLOOKUP("Colza",AlimentsPoneys,4,FALSE))/1000</f>
        <v>#REF!</v>
      </c>
      <c r="F14" s="244" t="e">
        <f>IF(ColzaNécessaireBQ=0,,IF(ColzaNécessaireBQ-VLOOKUP(Colza,StockDansSilos,3,FALSE)&lt;=0,0,ROUNDUP(ColzaNécessaireBQ-VLOOKUP(Colza,StockDansSilos,3,FALSE),0)))</f>
        <v>#REF!</v>
      </c>
      <c r="G14" s="240" t="e">
        <f>IF(ColzaNécessaireMoQ=0,,IF(ColzaNécessaireMoQ-VLOOKUP(Colza,StockDansSilos,3,FALSE)&lt;=0,0,ROUNDUP(ColzaNécessaireMoQ-VLOOKUP(Colza,StockDansSilos,3,FALSE),0)))</f>
        <v>#REF!</v>
      </c>
      <c r="H14" s="245" t="e">
        <f>IF(ColzaNécessaireMaQ=0,,IF(ColzaNécessaireMaQ-VLOOKUP(Colza,StockDansSilos,3,FALSE)&lt;=0,0,ROUNDUP(ColzaNécessaireMaQ-VLOOKUP(Colza,StockDansSilos,3,FALSE),0)))</f>
        <v>#REF!</v>
      </c>
      <c r="I14" s="181"/>
      <c r="J14" s="186"/>
      <c r="K14" s="165" t="e">
        <f>IF(AND(CommandeColzaBQ=0,CommandeColzaMoQ=0,CommandeColzaMaQ=0),"",((PrixColza*CommandeColzaBQ)+(PrixColza*CommandeColzaMoQ*0.9)+(PrixColza*CommandeColzaMaQ*0.8)))</f>
        <v>#REF!</v>
      </c>
      <c r="L14" s="181"/>
      <c r="M14" s="181"/>
      <c r="N14" s="171"/>
      <c r="O14" s="178"/>
      <c r="P14" s="178"/>
      <c r="Q14" s="178"/>
      <c r="R14" s="178"/>
      <c r="S14" s="178"/>
      <c r="T14" s="176"/>
      <c r="U14" s="173"/>
      <c r="V14" s="173"/>
      <c r="W14" s="173"/>
      <c r="X14" s="173"/>
      <c r="Y14" s="173"/>
      <c r="Z14" s="173"/>
    </row>
    <row r="15" spans="1:26" s="15" customFormat="1" x14ac:dyDescent="0.2">
      <c r="A15" s="174"/>
      <c r="B15" s="187" t="e">
        <f>IF(AND(ConcentréBovinsNécessaireBQ=0,ConcentréBovinsNécessaireMoQ=0,ConcentréBovinsNécessaireMaQ=0),"","concentré jeunes bovins (kg)")</f>
        <v>#REF!</v>
      </c>
      <c r="C15" s="256" t="e">
        <f>(VLOOKUP("Concentré jeunes bovins",AlimentsBovins,2,FALSE)+VLOOKUP("Concentré jeunes bovins",AlimentsPorcins,2,FALSE)+VLOOKUP("Concentré jeunes bovins",AlimentsCaprins,2,FALSE)+VLOOKUP("Concentré jeunes bovins",AlimentsOvins,2,FALSE)+VLOOKUP("Concentré jeunes bovins",AlimentsLapins,2,FALSE)+VLOOKUP("Concentré jeunes bovins",AlimentsVolailles,2,FALSE)+VLOOKUP("Concentré jeunes bovins",AlimentsPintades,2,FALSE)+VLOOKUP("Concentré jeunes bovins",AlimentsOies,2,FALSE)+VLOOKUP("Concentré jeunes bovins",AlimentsCanards,2,FALSE)+VLOOKUP("Concentré jeunes bovins",AlimentsGavageOiesEtCanards,2,FALSE)+VLOOKUP("Concentré jeunes bovins",AlimentsBisons,2,FALSE)+VLOOKUP("Concentré jeunes bovins",AlimentsDaims,2,FALSE)+VLOOKUP("Concentré jeunes bovins",AlimentsChevauxSelle,2,FALSE)+VLOOKUP("Concentré jeunes bovins",AlimentsChevauxTrait,2,FALSE)+VLOOKUP("Concentré jeunes bovins",AlimentsPoneys,2,FALSE))/1000</f>
        <v>#REF!</v>
      </c>
      <c r="D15" s="262" t="e">
        <f>(VLOOKUP("Concentré jeunes bovins",AlimentsBovins,3,FALSE)+VLOOKUP("Concentré jeunes bovins",AlimentsPorcins,3,FALSE)+VLOOKUP("Concentré jeunes bovins",AlimentsCaprins,3,FALSE)+VLOOKUP("Concentré jeunes bovins",AlimentsOvins,3,FALSE)+VLOOKUP("Concentré jeunes bovins",AlimentsLapins,3,FALSE)+VLOOKUP("Concentré jeunes bovins",AlimentsVolailles,3,FALSE)+VLOOKUP("Concentré jeunes bovins",AlimentsPintades,3,FALSE)+VLOOKUP("Concentré jeunes bovins",AlimentsOies,3,FALSE)+VLOOKUP("Concentré jeunes bovins",AlimentsCanards,3,FALSE)+VLOOKUP("Concentré jeunes bovins",AlimentsGavageOiesEtCanards,3,FALSE)+VLOOKUP("Concentré jeunes bovins",AlimentsBisons,3,FALSE)+VLOOKUP("Concentré jeunes bovins",AlimentsDaims,3,FALSE)+VLOOKUP("Concentré jeunes bovins",AlimentsChevauxSelle,3,FALSE)+VLOOKUP("Concentré jeunes bovins",AlimentsChevauxTrait,3,FALSE)+VLOOKUP("Concentré jeunes bovins",AlimentsPoneys,3,FALSE))/1000</f>
        <v>#REF!</v>
      </c>
      <c r="E15" s="263" t="e">
        <f>(VLOOKUP("Concentré jeunes bovins",AlimentsBovins,4,FALSE)+VLOOKUP("Concentré jeunes bovins",AlimentsPorcins,4,FALSE)+VLOOKUP("Concentré jeunes bovins",AlimentsCaprins,4,FALSE)+VLOOKUP("Concentré jeunes bovins",AlimentsOvins,4,FALSE)+VLOOKUP("Concentré jeunes bovins",AlimentsLapins,4,FALSE)+VLOOKUP("Concentré jeunes bovins",AlimentsVolailles,4,FALSE)+VLOOKUP("Concentré jeunes bovins",AlimentsPintades,4,FALSE)+VLOOKUP("Concentré jeunes bovins",AlimentsOies,4,FALSE)+VLOOKUP("Concentré jeunes bovins",AlimentsCanards,4,FALSE)+VLOOKUP("Concentré jeunes bovins",AlimentsGavageOiesEtCanards,4,FALSE)+VLOOKUP("Concentré jeunes bovins",AlimentsBisons,4,FALSE)+VLOOKUP("Concentré jeunes bovins",AlimentsDaims,4,FALSE)+VLOOKUP("Concentré jeunes bovins",AlimentsChevauxSelle,4,FALSE)+VLOOKUP("Concentré jeunes bovins",AlimentsChevauxTrait,4,FALSE)+VLOOKUP("Concentré jeunes bovins",AlimentsPoneys,4,FALSE))/1000</f>
        <v>#REF!</v>
      </c>
      <c r="F15" s="246" t="e">
        <f>IF(ConcentréBovinsNécessaireBQ=0,,IF(ConcentréBovinsNécessaireBQ-VLOOKUP(Concentré jeunes Bovins,StockDansSilos,3,FALSE)&lt;=0,0,ROUNDUP(ConcentréBovinsNécessaireBQ-VLOOKUP(Concentré jeunes Bovins,StockDansSilos,3,FALSE),0)))</f>
        <v>#REF!</v>
      </c>
      <c r="G15" s="239" t="e">
        <f>IF(ConcentréBovinsNécessaireMoQ=0,,IF(ConcentréBovinsNécessaireMoQ-VLOOKUP(Concentré jeunes Bovins,StockDansSilos,3,FALSE)&lt;=0,0,ROUNDUP(ConcentréBovinsNécessaireMoQ-VLOOKUP(Concentré jeunes Bovins,StockDansSilos,3,FALSE),0)))</f>
        <v>#REF!</v>
      </c>
      <c r="H15" s="247" t="e">
        <f>IF(ConcentréBovinsNécessaireMaQ=0,,IF(ConcentréBovinsNécessaireMaQ-VLOOKUP(Concentré jeunes Bovins,StockDansSilos,3,FALSE)&lt;=0,0,ROUNDUP(ConcentréBovinsNécessaireMaQ-VLOOKUP(Concentré jeunes Bovins,StockDansSilos,3,FALSE),0)))</f>
        <v>#REF!</v>
      </c>
      <c r="I15" s="181"/>
      <c r="J15" s="190" t="e">
        <f>IF(ConcentréBovins="","",1.07)</f>
        <v>#REF!</v>
      </c>
      <c r="K15" s="189" t="e">
        <f>IF(AND(CommandeConcentréBovinsBQ=0,CommandeConcentréBovinsMoQ=0,CommandeConcentréBovinsMaQ=0),"",((PrixConcentréBovins*CommandeConcentréBovinsBQ)+(PrixConcentréBovins*CommandeConcentréBovinsMoQ*0.9)+(PrixConcentréBovins*CommandeConcentréBovinsMaQ*0.8)))</f>
        <v>#REF!</v>
      </c>
      <c r="L15" s="181"/>
      <c r="M15" s="181"/>
      <c r="N15" s="171"/>
      <c r="O15" s="178"/>
      <c r="P15" s="178"/>
      <c r="Q15" s="178"/>
      <c r="R15" s="178"/>
      <c r="S15" s="178"/>
      <c r="T15" s="176"/>
      <c r="U15" s="173"/>
      <c r="V15" s="173"/>
      <c r="W15" s="173"/>
      <c r="X15" s="173"/>
      <c r="Y15" s="173"/>
      <c r="Z15" s="173"/>
    </row>
    <row r="16" spans="1:26" s="15" customFormat="1" x14ac:dyDescent="0.2">
      <c r="A16" s="174"/>
      <c r="B16" s="162" t="e">
        <f>IF(AND(ConcentréLapinsNécessaireBQ=0,ConcentréLapinsNécessaireMoQ=0,ConcentréLapinsNécessaireMaQ=0),"","concentré jeunes lapins (kg)")</f>
        <v>#REF!</v>
      </c>
      <c r="C16" s="255" t="e">
        <f>(VLOOKUP("Concentré jeunes lapins",AlimentsBovins,2,FALSE)+VLOOKUP("Concentré jeunes lapins",AlimentsPorcins,2,FALSE)+VLOOKUP("Concentré jeunes lapins",AlimentsCaprins,2,FALSE)+VLOOKUP("Concentré jeunes lapins",AlimentsOvins,2,FALSE)+VLOOKUP("Concentré jeunes lapins",AlimentsLapins,2,FALSE)+VLOOKUP("Concentré jeunes lapins",AlimentsVolailles,2,FALSE)+VLOOKUP("Concentré jeunes lapins",AlimentsPintades,2,FALSE)+VLOOKUP("Concentré jeunes lapins",AlimentsOies,2,FALSE)+VLOOKUP("Concentré jeunes lapins",AlimentsCanards,2,FALSE)+VLOOKUP("Concentré jeunes lapins",AlimentsGavageOiesEtCanards,2,FALSE)+VLOOKUP("Concentré jeunes lapins",AlimentsBisons,2,FALSE)+VLOOKUP("Concentré jeunes lapins",AlimentsDaims,2,FALSE)+VLOOKUP("Concentré jeunes lapins",AlimentsChevauxSelle,2,FALSE)+VLOOKUP("Concentré jeunes lapins",AlimentsChevauxTrait,2,FALSE)+VLOOKUP("Concentré jeunes lapins",AlimentsPoneys,2,FALSE))/1000</f>
        <v>#REF!</v>
      </c>
      <c r="D16" s="260" t="e">
        <f>(VLOOKUP("Concentré jeunes lapins",AlimentsBovins,3,FALSE)+VLOOKUP("Concentré jeunes lapins",AlimentsPorcins,3,FALSE)+VLOOKUP("Concentré jeunes lapins",AlimentsCaprins,3,FALSE)+VLOOKUP("Concentré jeunes lapins",AlimentsOvins,3,FALSE)+VLOOKUP("Concentré jeunes lapins",AlimentsLapins,3,FALSE)+VLOOKUP("Concentré jeunes lapins",AlimentsVolailles,3,FALSE)+VLOOKUP("Concentré jeunes lapins",AlimentsPintades,3,FALSE)+VLOOKUP("Concentré jeunes lapins",AlimentsOies,3,FALSE)+VLOOKUP("Concentré jeunes lapins",AlimentsCanards,3,FALSE)+VLOOKUP("Concentré jeunes lapins",AlimentsGavageOiesEtCanards,3,FALSE)+VLOOKUP("Concentré jeunes lapins",AlimentsBisons,3,FALSE)+VLOOKUP("Concentré jeunes lapins",AlimentsDaims,3,FALSE)+VLOOKUP("Concentré jeunes lapins",AlimentsChevauxSelle,3,FALSE)+VLOOKUP("Concentré jeunes lapins",AlimentsChevauxTrait,3,FALSE)+VLOOKUP("Concentré jeunes lapins",AlimentsPoneys,3,FALSE))/1000</f>
        <v>#REF!</v>
      </c>
      <c r="E16" s="261" t="e">
        <f>(VLOOKUP("Concentré jeunes lapins",AlimentsBovins,4,FALSE)+VLOOKUP("Concentré jeunes lapins",AlimentsPorcins,4,FALSE)+VLOOKUP("Concentré jeunes lapins",AlimentsCaprins,4,FALSE)+VLOOKUP("Concentré jeunes lapins",AlimentsOvins,4,FALSE)+VLOOKUP("Concentré jeunes lapins",AlimentsLapins,4,FALSE)+VLOOKUP("Concentré jeunes lapins",AlimentsVolailles,4,FALSE)+VLOOKUP("Concentré jeunes lapins",AlimentsPintades,4,FALSE)+VLOOKUP("Concentré jeunes lapins",AlimentsOies,4,FALSE)+VLOOKUP("Concentré jeunes lapins",AlimentsCanards,4,FALSE)+VLOOKUP("Concentré jeunes lapins",AlimentsGavageOiesEtCanards,4,FALSE)+VLOOKUP("Concentré jeunes lapins",AlimentsBisons,4,FALSE)+VLOOKUP("Concentré jeunes lapins",AlimentsDaims,4,FALSE)+VLOOKUP("Concentré jeunes lapins",AlimentsChevauxSelle,4,FALSE)+VLOOKUP("Concentré jeunes lapins",AlimentsChevauxTrait,4,FALSE)+VLOOKUP("Concentré jeunes lapins",AlimentsPoneys,4,FALSE))/1000</f>
        <v>#REF!</v>
      </c>
      <c r="F16" s="244" t="e">
        <f>IF(ConcentréLapinsNécessaireBQ=0,,IF(ConcentréLapinsNécessaireBQ-VLOOKUP(Concentré jeunes lapins,StockDansSilos,3,FALSE)&lt;=0,0,ROUNDUP(ConcentréLapinsNécessaireBQ-VLOOKUP(Concentré jeunes lapins,StockDansSilos,3,FALSE),0)))</f>
        <v>#REF!</v>
      </c>
      <c r="G16" s="240" t="e">
        <f>IF(ConcentréLapinsNécessaireMoQ=0,,IF(ConcentréLapinsNécessaireMoQ-VLOOKUP(Concentré jeunes lapins,StockDansSilos,3,FALSE)&lt;=0,0,ROUNDUP(ConcentréLapinsNécessaireMoQ-VLOOKUP(Concentré jeunes lapins,StockDansSilos,3,FALSE),0)))</f>
        <v>#REF!</v>
      </c>
      <c r="H16" s="245" t="e">
        <f>IF(ConcentréLapinsNécessaireMaQ=0,,IF(ConcentréLapinsNécessaireMaQ-VLOOKUP(Concentré jeunes lapins,StockDansSilos,3,FALSE)&lt;=0,0,ROUNDUP(ConcentréLapinsNécessaireMaQ-VLOOKUP(Concentré jeunes lapins,StockDansSilos,3,FALSE),0)))</f>
        <v>#REF!</v>
      </c>
      <c r="I16" s="181"/>
      <c r="J16" s="191" t="e">
        <f>IF(ConcentréLapins="","",1.12)</f>
        <v>#REF!</v>
      </c>
      <c r="K16" s="165" t="e">
        <f>IF(AND(CommandeConcentréLapinsBQ=0,CommandeConcentréLapinsMoQ=0,CommandeConcentréLapinsMaQ=0),"",((PrixConcentréLapins*CommandeConcentréLapinsBQ)+(PrixConcentréLapins*CommandeConcentréLapinsMoQ*0.9)+(PrixConcentréLapins*CommandeConcentréLapinsMaQ*0.8)))</f>
        <v>#REF!</v>
      </c>
      <c r="L16" s="181"/>
      <c r="M16" s="181"/>
      <c r="N16" s="171"/>
      <c r="O16" s="171"/>
      <c r="P16" s="171"/>
      <c r="Q16" s="171"/>
      <c r="R16" s="171"/>
      <c r="S16" s="171"/>
      <c r="T16" s="176"/>
      <c r="U16" s="173"/>
      <c r="V16" s="173"/>
      <c r="W16" s="173"/>
      <c r="X16" s="173"/>
      <c r="Y16" s="173"/>
      <c r="Z16" s="173"/>
    </row>
    <row r="17" spans="1:26" s="15" customFormat="1" x14ac:dyDescent="0.2">
      <c r="A17" s="174"/>
      <c r="B17" s="192" t="e">
        <f>IF(AND(ConcentréPorcinsNécessaireBQ=0,ConcentréPorcinsNécessaireMoQ=0,ConcentréPorcinsNécessaireMaQ=0),"","concentré jeunes porcins (kg)")</f>
        <v>#REF!</v>
      </c>
      <c r="C17" s="256" t="e">
        <f>(VLOOKUP("Concentré jeunes porcins",AlimentsBovins,2,FALSE)+VLOOKUP("Concentré jeunes porcins",AlimentsPorcins,2,FALSE)+VLOOKUP("Concentré jeunes porcins",AlimentsCaprins,2,FALSE)+VLOOKUP("Concentré jeunes porcins",AlimentsOvins,2,FALSE)+VLOOKUP("Concentré jeunes porcins",AlimentsLapins,2,FALSE)+VLOOKUP("Concentré jeunes porcins",AlimentsVolailles,2,FALSE)+VLOOKUP("Concentré jeunes porcins",AlimentsPintades,2,FALSE)+VLOOKUP("Concentré jeunes porcins",AlimentsOies,2,FALSE)+VLOOKUP("Concentré jeunes porcins",AlimentsCanards,2,FALSE)+VLOOKUP("Concentré jeunes porcins",AlimentsGavageOiesEtCanards,2,FALSE)+VLOOKUP("Concentré jeunes porcins",AlimentsBisons,2,FALSE)+VLOOKUP("Concentré jeunes porcins",AlimentsDaims,2,FALSE)+VLOOKUP("Concentré jeunes porcins",AlimentsChevauxSelle,2,FALSE)+VLOOKUP("Concentré jeunes porcins",AlimentsChevauxTrait,2,FALSE)+VLOOKUP("Concentré jeunes porcins",AlimentsPoneys,2,FALSE))/1000</f>
        <v>#REF!</v>
      </c>
      <c r="D17" s="262" t="e">
        <f>(VLOOKUP("Concentré jeunes porcins",AlimentsBovins,3,FALSE)+VLOOKUP("Concentré jeunes porcins",AlimentsPorcins,3,FALSE)+VLOOKUP("Concentré jeunes porcins",AlimentsCaprins,3,FALSE)+VLOOKUP("Concentré jeunes porcins",AlimentsOvins,3,FALSE)+VLOOKUP("Concentré jeunes porcins",AlimentsLapins,3,FALSE)+VLOOKUP("Concentré jeunes porcins",AlimentsVolailles,3,FALSE)+VLOOKUP("Concentré jeunes porcins",AlimentsPintades,3,FALSE)+VLOOKUP("Concentré jeunes porcins",AlimentsOies,3,FALSE)+VLOOKUP("Concentré jeunes porcins",AlimentsCanards,3,FALSE)+VLOOKUP("Concentré jeunes porcins",AlimentsGavageOiesEtCanards,3,FALSE)+VLOOKUP("Concentré jeunes porcins",AlimentsBisons,3,FALSE)+VLOOKUP("Concentré jeunes porcins",AlimentsDaims,3,FALSE)+VLOOKUP("Concentré jeunes porcins",AlimentsChevauxSelle,3,FALSE)+VLOOKUP("Concentré jeunes porcins",AlimentsChevauxTrait,3,FALSE)+VLOOKUP("Concentré jeunes porcins",AlimentsPoneys,3,FALSE))/1000</f>
        <v>#REF!</v>
      </c>
      <c r="E17" s="263" t="e">
        <f>(VLOOKUP("Concentré jeunes porcins",AlimentsBovins,4,FALSE)+VLOOKUP("Concentré jeunes porcins",AlimentsPorcins,4,FALSE)+VLOOKUP("Concentré jeunes porcins",AlimentsCaprins,4,FALSE)+VLOOKUP("Concentré jeunes porcins",AlimentsOvins,4,FALSE)+VLOOKUP("Concentré jeunes porcins",AlimentsLapins,4,FALSE)+VLOOKUP("Concentré jeunes porcins",AlimentsVolailles,4,FALSE)+VLOOKUP("Concentré jeunes porcins",AlimentsPintades,4,FALSE)+VLOOKUP("Concentré jeunes porcins",AlimentsOies,4,FALSE)+VLOOKUP("Concentré jeunes porcins",AlimentsCanards,4,FALSE)+VLOOKUP("Concentré jeunes porcins",AlimentsGavageOiesEtCanards,4,FALSE)+VLOOKUP("Concentré jeunes porcins",AlimentsBisons,4,FALSE)+VLOOKUP("Concentré jeunes porcins",AlimentsDaims,4,FALSE)+VLOOKUP("Concentré jeunes porcins",AlimentsChevauxSelle,4,FALSE)+VLOOKUP("Concentré jeunes porcins",AlimentsChevauxTrait,4,FALSE)+VLOOKUP("Concentré jeunes porcins",AlimentsPoneys,4,FALSE))/1000</f>
        <v>#REF!</v>
      </c>
      <c r="F17" s="246" t="e">
        <f>IF(ConcentréPorcinsNécessaireBQ=0,,IF(ConcentréPorcinsNécessaireBQ-VLOOKUP(Concentré jeunes porcins,StockDansSilos,3,FALSE)&lt;=0,0,ROUNDUP(ConcentréPorcinsNécessaireBQ-VLOOKUP(Concentré jeunes porcins,StockDansSilos,3,FALSE),0)))</f>
        <v>#REF!</v>
      </c>
      <c r="G17" s="239" t="e">
        <f>IF(ConcentréPorcinsNécessaireMoQ=0,,IF(ConcentréPorcinsNécessaireMoQ-VLOOKUP(Concentré jeunes porcins,StockDansSilos,3,FALSE)&lt;=0,0,ROUNDUP(ConcentréPorcinsNécessaireMoQ-VLOOKUP(Concentré jeunes porcins,StockDansSilos,3,FALSE),0)))</f>
        <v>#REF!</v>
      </c>
      <c r="H17" s="247" t="e">
        <f>IF(ConcentréPorcinsNécessaireMaQ=0,,IF(ConcentréPorcinsNécessaireMaQ-VLOOKUP(Concentré jeunes porcins,StockDansSilos,3,FALSE)&lt;=0,0,ROUNDUP(ConcentréPorcinsNécessaireMaQ-VLOOKUP(Concentré jeunes porcins,StockDansSilos,3,FALSE),0)))</f>
        <v>#REF!</v>
      </c>
      <c r="I17" s="181"/>
      <c r="J17" s="190" t="e">
        <f>IF(ConcentréPorcins="","",1.13)</f>
        <v>#REF!</v>
      </c>
      <c r="K17" s="189" t="e">
        <f>IF(AND(CommandeConcentréPorcinsBQ=0,CommandeConcentréPorcinsMoQ=0,CommandeConcentréPorcinsMaQ=0),"",((PrixConcentréPorcins*CommandeConcentréPorcinsBQ)+(PrixConcentréPorcins*CommandeConcentréPorcinsMoQ*0.9)+(PrixConcentréPorcins*CommandeConcentréPorcinsMaQ*0.8)))</f>
        <v>#REF!</v>
      </c>
      <c r="L17" s="181"/>
      <c r="M17" s="181"/>
      <c r="N17" s="171"/>
      <c r="O17" s="171"/>
      <c r="P17" s="171"/>
      <c r="Q17" s="171"/>
      <c r="R17" s="171"/>
      <c r="S17" s="171"/>
      <c r="T17" s="176"/>
      <c r="U17" s="173"/>
      <c r="V17" s="173"/>
      <c r="W17" s="173"/>
      <c r="X17" s="173"/>
      <c r="Y17" s="173"/>
      <c r="Z17" s="173"/>
    </row>
    <row r="18" spans="1:26" s="15" customFormat="1" x14ac:dyDescent="0.2">
      <c r="A18" s="174"/>
      <c r="B18" s="162" t="e">
        <f>IF(AND(EnsilageHerbeNécessaireBQ=0,EnsilageHerbeNécessaireMoQ=0,EnsilageHerbeNécessaireMaQ=0),"","ensilage d'herbe (t)")</f>
        <v>#REF!</v>
      </c>
      <c r="C18" s="255" t="e">
        <f>(VLOOKUP("Ensilage d'herbe",AlimentsBovins,2,FALSE)+VLOOKUP("Ensilage d'herbe",AlimentsPorcins,2,FALSE)+VLOOKUP("Ensilage d'herbe",AlimentsCaprins,2,FALSE)+VLOOKUP("Ensilage d'herbe",AlimentsOvins,2,FALSE)+VLOOKUP("Ensilage d'herbe",AlimentsLapins,2,FALSE)+VLOOKUP("Ensilage d'herbe",AlimentsVolailles,2,FALSE)+VLOOKUP("Ensilage d'herbe",AlimentsPintades,2,FALSE)+VLOOKUP("Ensilage d'herbe",AlimentsOies,2,FALSE)+VLOOKUP("Ensilage d'herbe",AlimentsCanards,2,FALSE)+VLOOKUP("Ensilage d'herbe",AlimentsGavageOiesEtCanards,2,FALSE)+VLOOKUP("Ensilage d'herbe",AlimentsBisons,2,FALSE)+VLOOKUP("Ensilage d'herbe",AlimentsDaims,2,FALSE)+VLOOKUP("Ensilage d'herbe",AlimentsChevauxSelle,2,FALSE)+VLOOKUP("Ensilage d'herbe",AlimentsChevauxTrait,2,FALSE)+VLOOKUP("Ensilage d'herbe",AlimentsPoneys,2,FALSE))/1000</f>
        <v>#REF!</v>
      </c>
      <c r="D18" s="260" t="e">
        <f>(VLOOKUP("Ensilage d'herbe",AlimentsBovins,3,FALSE)+VLOOKUP("Ensilage d'herbe",AlimentsPorcins,3,FALSE)+VLOOKUP("Ensilage d'herbe",AlimentsCaprins,3,FALSE)+VLOOKUP("Ensilage d'herbe",AlimentsOvins,3,FALSE)+VLOOKUP("Ensilage d'herbe",AlimentsLapins,3,FALSE)+VLOOKUP("Ensilage d'herbe",AlimentsVolailles,3,FALSE)+VLOOKUP("Ensilage d'herbe",AlimentsPintades,3,FALSE)+VLOOKUP("Ensilage d'herbe",AlimentsOies,3,FALSE)+VLOOKUP("Ensilage d'herbe",AlimentsCanards,3,FALSE)+VLOOKUP("Ensilage d'herbe",AlimentsGavageOiesEtCanards,3,FALSE)+VLOOKUP("Ensilage d'herbe",AlimentsBisons,3,FALSE)+VLOOKUP("Ensilage d'herbe",AlimentsDaims,3,FALSE)+VLOOKUP("Ensilage d'herbe",AlimentsChevauxSelle,3,FALSE)+VLOOKUP("Ensilage d'herbe",AlimentsChevauxTrait,3,FALSE)+VLOOKUP("Ensilage d'herbe",AlimentsPoneys,3,FALSE))/1000</f>
        <v>#REF!</v>
      </c>
      <c r="E18" s="261" t="e">
        <f>(VLOOKUP("Ensilage d'herbe",AlimentsBovins,4,FALSE)+VLOOKUP("Ensilage d'herbe",AlimentsPorcins,4,FALSE)+VLOOKUP("Ensilage d'herbe",AlimentsCaprins,4,FALSE)+VLOOKUP("Ensilage d'herbe",AlimentsOvins,4,FALSE)+VLOOKUP("Ensilage d'herbe",AlimentsLapins,4,FALSE)+VLOOKUP("Ensilage d'herbe",AlimentsVolailles,4,FALSE)+VLOOKUP("Ensilage d'herbe",AlimentsPintades,4,FALSE)+VLOOKUP("Ensilage d'herbe",AlimentsOies,4,FALSE)+VLOOKUP("Ensilage d'herbe",AlimentsCanards,4,FALSE)+VLOOKUP("Ensilage d'herbe",AlimentsGavageOiesEtCanards,4,FALSE)+VLOOKUP("Ensilage d'herbe",AlimentsBisons,4,FALSE)+VLOOKUP("Ensilage d'herbe",AlimentsDaims,4,FALSE)+VLOOKUP("Ensilage d'herbe",AlimentsChevauxSelle,4,FALSE)+VLOOKUP("Ensilage d'herbe",AlimentsChevauxTrait,4,FALSE)+VLOOKUP("Ensilage d'herbe",AlimentsPoneys,4,FALSE))/1000</f>
        <v>#REF!</v>
      </c>
      <c r="F18" s="244" t="e">
        <f>IF(EnsilageHerbeNécessaireBQ=0,,IF(EnsilageHerbeNécessaireBQ-VLOOKUP(EnsilageHerbe,StockDansSilos,3,FALSE)&lt;=0,0,ROUNDUP(EnsilageHerbeNécessaireBQ-VLOOKUP(EnsilageHerbe,StockDansSilos,3,FALSE),0)))</f>
        <v>#REF!</v>
      </c>
      <c r="G18" s="240" t="e">
        <f>IF(EnsilageHerbeNécessaireMoQ=0,,IF(EnsilageHerbeNécessaireMoQ-VLOOKUP(EnsilageHerbe,StockDansSilos,3,FALSE)&lt;=0,0,ROUNDUP(EnsilageHerbeNécessaireMoQ-VLOOKUP(EnsilageHerbe,StockDansSilos,3,FALSE),0)))</f>
        <v>#REF!</v>
      </c>
      <c r="H18" s="245" t="e">
        <f>IF(EnsilageHerbeNécessaireMaQ=0,,IF(EnsilageHerbeNécessaireMaQ-VLOOKUP(EnsilageHerbe,StockDansSilos,3,FALSE)&lt;=0,0,ROUNDUP(EnsilageHerbeNécessaireMaQ-VLOOKUP(EnsilageHerbe,StockDansSilos,3,FALSE),0)))</f>
        <v>#REF!</v>
      </c>
      <c r="I18" s="181"/>
      <c r="J18" s="186"/>
      <c r="K18" s="165" t="e">
        <f>IF(AND(CommandeEnsilageHerbeBQ=0,CommandeEnsilageHerbeMoQ=0,CommandeEnsilageHerbeMaQ=0),"",((PrixEnsilageHerbe*CommandeEnsilageHerbeBQ)+(PrixEnsilageHerbe*CommandeEnsilageHerbeMoQ*0.9)+(PrixEnsilageHerbe*CommandeEnsilageHerbeMaQ*0.8)))</f>
        <v>#REF!</v>
      </c>
      <c r="L18" s="181"/>
      <c r="M18" s="181"/>
      <c r="N18" s="171"/>
      <c r="O18" s="171"/>
      <c r="P18" s="171"/>
      <c r="Q18" s="171"/>
      <c r="R18" s="171"/>
      <c r="S18" s="171"/>
      <c r="T18" s="176"/>
      <c r="U18" s="173"/>
      <c r="V18" s="173"/>
      <c r="W18" s="173"/>
      <c r="X18" s="173"/>
      <c r="Y18" s="173"/>
      <c r="Z18" s="173"/>
    </row>
    <row r="19" spans="1:26" s="15" customFormat="1" x14ac:dyDescent="0.2">
      <c r="A19" s="174"/>
      <c r="B19" s="192" t="e">
        <f>IF(OR(C19="",C19=0,C19="invalide"),"","eau (l)")</f>
        <v>#REF!</v>
      </c>
      <c r="C19" s="450" t="e">
        <f>(VLOOKUP("Eau",AlimentsRationBovinsMâles,9,FALSE)+VLOOKUP("Eau",AlimentsRationBovinsFemelles,9,FALSE)+VLOOKUP("Eau",AlimentsRationHivernaleBovins,9,FALSE)+VLOOKUP("Eau",AlimentsRationHivernaleBisonsMâles,9,FALSE)+VLOOKUP("Eau",AlimentsRationCaprinsMâles,6,FALSE)+VLOOKUP("Eau",#REF!,7,FALSE)+VLOOKUP("Eau",#REF!,5,FALSE)+VLOOKUP("Eau",#REF!,5,FALSE)+VLOOKUP("Eau",#REF!,5,FALSE)+VLOOKUP("Eau",AlimentsRationOvinsMâles,6,FALSE)+VLOOKUP("Eau",AlimentsRationHivernaleOvins,6,FALSE)+VLOOKUP("Eau",AlimentsRationHivernaleDaims,9,FALSE)+VLOOKUP("Eau",#REF!,5,FALSE)+VLOOKUP("Eau",#REF!,5,FALSE)+VLOOKUP("Eau",AlimentsRationEcurieChevauxMâlesSelle,6,FALSE)+VLOOKUP("Eau",AlimentsRationEcurieChevauxMâlesTrait,6,FALSE)+VLOOKUP("Eau",AlimentsRationEcuriePoneysMâles,6,FALSE)+VLOOKUP("Eau",#REF!,6,FALSE)+VLOOKUP("Eau",#REF!,6,FALSE))</f>
        <v>#REF!</v>
      </c>
      <c r="D19" s="451"/>
      <c r="E19" s="452"/>
      <c r="F19" s="453" t="e">
        <f>IF(EauNécessaire=0,"",IF(EauNécessaire-VLOOKUP(Eau,StockDansSilos,3,FALSE)&lt;=0,0,ROUNDUP(EauNécessaire-VLOOKUP(Eau,StockDansSilos,3,FALSE),0)))</f>
        <v>#REF!</v>
      </c>
      <c r="G19" s="454"/>
      <c r="H19" s="455"/>
      <c r="I19" s="181"/>
      <c r="J19" s="193" t="e">
        <f>IF(Eau="","",0.0026)</f>
        <v>#REF!</v>
      </c>
      <c r="K19" s="189" t="e">
        <f>IF(CommandeEau="","",IF(CommandeEau&gt;=0,PrixEau*CommandeEau,""))</f>
        <v>#REF!</v>
      </c>
      <c r="L19" s="181"/>
      <c r="M19" s="181"/>
      <c r="N19" s="171"/>
      <c r="O19" s="171"/>
      <c r="P19" s="171"/>
      <c r="Q19" s="171"/>
      <c r="R19" s="171"/>
      <c r="S19" s="171"/>
      <c r="T19" s="176"/>
      <c r="U19" s="173"/>
      <c r="V19" s="173"/>
      <c r="W19" s="173"/>
      <c r="X19" s="173"/>
      <c r="Y19" s="173"/>
      <c r="Z19" s="173"/>
    </row>
    <row r="20" spans="1:26" s="15" customFormat="1" x14ac:dyDescent="0.2">
      <c r="A20" s="174"/>
      <c r="B20" s="162" t="e">
        <f>IF(AND(FéveroleNécessaireBQ=0,FéveroleNécessaireMoQ=0,FéveroleNécessaireMaQ=0),"","féverole (t)")</f>
        <v>#REF!</v>
      </c>
      <c r="C20" s="255" t="e">
        <f>(VLOOKUP("Féverole",AlimentsBovins,2,FALSE)+VLOOKUP("Féverole",AlimentsPorcins,2,FALSE)+VLOOKUP("Féverole",AlimentsCaprins,2,FALSE)+VLOOKUP("Féverole",AlimentsOvins,2,FALSE)+VLOOKUP("Féverole",AlimentsLapins,2,FALSE)+VLOOKUP("Féverole",AlimentsVolailles,2,FALSE)+VLOOKUP("Féverole",AlimentsPintades,2,FALSE)+VLOOKUP("Féverole",AlimentsOies,2,FALSE)+VLOOKUP("Féverole",AlimentsCanards,2,FALSE)+VLOOKUP("Féverole",AlimentsGavageOiesEtCanards,2,FALSE)+VLOOKUP("Féverole",AlimentsBisons,2,FALSE)+VLOOKUP("Féverole",AlimentsDaims,2,FALSE)+VLOOKUP("Féverole",AlimentsChevauxSelle,2,FALSE)+VLOOKUP("Féverole",AlimentsChevauxTrait,2,FALSE)+VLOOKUP("Féverole",AlimentsPoneys,2,FALSE))/1000</f>
        <v>#REF!</v>
      </c>
      <c r="D20" s="260" t="e">
        <f>(VLOOKUP("Féverole",AlimentsBovins,3,FALSE)+VLOOKUP("Féverole",AlimentsPorcins,3,FALSE)+VLOOKUP("Féverole",AlimentsCaprins,3,FALSE)+VLOOKUP("Féverole",AlimentsOvins,3,FALSE)+VLOOKUP("Féverole",AlimentsLapins,3,FALSE)+VLOOKUP("Féverole",AlimentsVolailles,3,FALSE)+VLOOKUP("Féverole",AlimentsPintades,3,FALSE)+VLOOKUP("Féverole",AlimentsOies,3,FALSE)+VLOOKUP("Féverole",AlimentsCanards,3,FALSE)+VLOOKUP("Féverole",AlimentsGavageOiesEtCanards,3,FALSE)+VLOOKUP("Féverole",AlimentsBisons,3,FALSE)+VLOOKUP("Féverole",AlimentsDaims,3,FALSE)+VLOOKUP("Féverole",AlimentsChevauxSelle,3,FALSE)+VLOOKUP("Féverole",AlimentsChevauxTrait,3,FALSE)+VLOOKUP("Féverole",AlimentsPoneys,3,FALSE))/1000</f>
        <v>#REF!</v>
      </c>
      <c r="E20" s="261" t="e">
        <f>(VLOOKUP("Féverole",AlimentsBovins,4,FALSE)+VLOOKUP("Féverole",AlimentsPorcins,4,FALSE)+VLOOKUP("Féverole",AlimentsCaprins,4,FALSE)+VLOOKUP("Féverole",AlimentsOvins,4,FALSE)+VLOOKUP("Féverole",AlimentsLapins,4,FALSE)+VLOOKUP("Féverole",AlimentsVolailles,4,FALSE)+VLOOKUP("Féverole",AlimentsPintades,4,FALSE)+VLOOKUP("Féverole",AlimentsOies,4,FALSE)+VLOOKUP("Féverole",AlimentsCanards,4,FALSE)+VLOOKUP("Féverole",AlimentsGavageOiesEtCanards,4,FALSE)+VLOOKUP("Féverole",AlimentsBisons,4,FALSE)+VLOOKUP("Féverole",AlimentsDaims,4,FALSE)+VLOOKUP("Féverole",AlimentsChevauxSelle,4,FALSE)+VLOOKUP("Féverole",AlimentsChevauxTrait,4,FALSE)+VLOOKUP("Féverole",AlimentsPoneys,4,FALSE))/1000</f>
        <v>#REF!</v>
      </c>
      <c r="F20" s="244" t="e">
        <f>IF(FéveroleNécessaireBQ=0,,IF(FéveroleNécessaireBQ-VLOOKUP(Féverole,StockDansSilos,3,FALSE)&lt;=0,0,ROUNDUP(FéveroleNécessaireBQ-VLOOKUP(Féverole,StockDansSilos,3,FALSE),0)))</f>
        <v>#REF!</v>
      </c>
      <c r="G20" s="240" t="e">
        <f>IF(FéveroleNécessaireMoQ=0,,IF(FéveroleNécessaireMoQ-VLOOKUP(Féverole,StockDansSilos,3,FALSE)&lt;=0,0,ROUNDUP(FéveroleNécessaireMoQ-VLOOKUP(Féverole,StockDansSilos,3,FALSE),0)))</f>
        <v>#REF!</v>
      </c>
      <c r="H20" s="245" t="e">
        <f>IF(FéveroleNécessaireMaQ=0,,IF(FéveroleNécessaireMaQ-VLOOKUP(Féverole,StockDansSilos,3,FALSE)&lt;=0,0,ROUNDUP(FéveroleNécessaireMaQ-VLOOKUP(Féverole,StockDansSilos,3,FALSE),0)))</f>
        <v>#REF!</v>
      </c>
      <c r="I20" s="181"/>
      <c r="J20" s="186"/>
      <c r="K20" s="165" t="e">
        <f>IF(AND(CommandeFeveroleBQ=0,CommandeFeveroleMoQ=0,CommandeFeveroleMaQ=0),"",((PrixFeverole*CommandeFeveroleBQ)+(PrixFeverole*CommandeFeveroleMoQ*0.9)+(PrixFeverole*CommandeFeveroleMaQ*0.8)))</f>
        <v>#REF!</v>
      </c>
      <c r="L20" s="181"/>
      <c r="M20" s="181"/>
      <c r="N20" s="171"/>
      <c r="O20" s="171"/>
      <c r="P20" s="171"/>
      <c r="Q20" s="171"/>
      <c r="R20" s="171"/>
      <c r="S20" s="171"/>
      <c r="T20" s="176"/>
      <c r="U20" s="173"/>
      <c r="V20" s="173"/>
      <c r="W20" s="173"/>
      <c r="X20" s="173"/>
      <c r="Y20" s="173"/>
      <c r="Z20" s="173"/>
    </row>
    <row r="21" spans="1:26" s="15" customFormat="1" x14ac:dyDescent="0.2">
      <c r="A21" s="174"/>
      <c r="B21" s="192" t="e">
        <f>IF(AND(FoinNécessaireBQ=0,FoinNécessaireMoQ=0,FoinNécessaireMaQ=0),"","foin (t)")</f>
        <v>#REF!</v>
      </c>
      <c r="C21" s="256" t="e">
        <f>(VLOOKUP("Foin",AlimentsBovins,2,FALSE)+VLOOKUP("Foin",AlimentsPorcins,2,FALSE)+VLOOKUP("Foin",AlimentsCaprins,2,FALSE)+VLOOKUP("Foin",AlimentsOvins,2,FALSE)+VLOOKUP("Foin",AlimentsLapins,2,FALSE)+VLOOKUP("Foin",AlimentsVolailles,2,FALSE)+VLOOKUP("Foin",AlimentsPintades,2,FALSE)+VLOOKUP("Foin",AlimentsOies,2,FALSE)+VLOOKUP("Foin",AlimentsCanards,2,FALSE)+VLOOKUP("Foin",AlimentsGavageOiesEtCanards,2,FALSE)+VLOOKUP("Foin",AlimentsBisons,2,FALSE)+VLOOKUP("Foin",AlimentsDaims,2,FALSE)+VLOOKUP("Foin",AlimentsChevauxSelle,2,FALSE)+VLOOKUP("Foin",AlimentsChevauxTrait,2,FALSE)+VLOOKUP("Foin",AlimentsPoneys,2,FALSE))/1000</f>
        <v>#REF!</v>
      </c>
      <c r="D21" s="262" t="e">
        <f>(VLOOKUP("Foin",AlimentsBovins,3,FALSE)+VLOOKUP("Foin",AlimentsPorcins,3,FALSE)+VLOOKUP("Foin",AlimentsCaprins,3,FALSE)+VLOOKUP("Foin",AlimentsOvins,3,FALSE)+VLOOKUP("Foin",AlimentsLapins,3,FALSE)+VLOOKUP("Foin",AlimentsVolailles,3,FALSE)+VLOOKUP("Foin",AlimentsPintades,3,FALSE)+VLOOKUP("Foin",AlimentsOies,3,FALSE)+VLOOKUP("Foin",AlimentsCanards,3,FALSE)+VLOOKUP("Foin",AlimentsGavageOiesEtCanards,3,FALSE)+VLOOKUP("Foin",AlimentsBisons,3,FALSE)+VLOOKUP("Foin",AlimentsDaims,3,FALSE)+VLOOKUP("Foin",AlimentsChevauxSelle,3,FALSE)+VLOOKUP("Foin",AlimentsChevauxTrait,3,FALSE)+VLOOKUP("Foin",AlimentsPoneys,3,FALSE))/1000</f>
        <v>#REF!</v>
      </c>
      <c r="E21" s="263" t="e">
        <f>(VLOOKUP("Foin",AlimentsBovins,4,FALSE)+VLOOKUP("Foin",AlimentsPorcins,4,FALSE)+VLOOKUP("Foin",AlimentsCaprins,4,FALSE)+VLOOKUP("Foin",AlimentsOvins,4,FALSE)+VLOOKUP("Foin",AlimentsLapins,4,FALSE)+VLOOKUP("Foin",AlimentsVolailles,4,FALSE)+VLOOKUP("Foin",AlimentsPintades,4,FALSE)+VLOOKUP("Foin",AlimentsOies,4,FALSE)+VLOOKUP("Foin",AlimentsCanards,4,FALSE)+VLOOKUP("Foin",AlimentsGavageOiesEtCanards,4,FALSE)+VLOOKUP("Foin",AlimentsBisons,4,FALSE)+VLOOKUP("Foin",AlimentsDaims,4,FALSE)+VLOOKUP("Foin",AlimentsChevauxSelle,4,FALSE)+VLOOKUP("Foin",AlimentsChevauxTrait,4,FALSE)+VLOOKUP("Foin",AlimentsPoneys,4,FALSE))/1000</f>
        <v>#REF!</v>
      </c>
      <c r="F21" s="246" t="e">
        <f>IF(FoinNécessaireBQ=0,,IF(FoinNécessaireBQ-SUM(StockFoinBQDansEntrepôt)&lt;=0,0,ROUNDUP(FoinNécessaireBQ-SUM(StockFoinBQDansEntrepôt),3)))</f>
        <v>#REF!</v>
      </c>
      <c r="G21" s="239" t="e">
        <f>IF(FoinNécessaireMoQ=0,,IF(FoinNécessaireMoQ-SUM(StockFoinMoQDansEntrepôt)&lt;=0,0,ROUNDUP(FoinNécessaireMoQ-SUM(StockFoinMoQDansEntrepôt),3)))</f>
        <v>#REF!</v>
      </c>
      <c r="H21" s="247" t="e">
        <f>IF(FoinNécessaireMaQ=0,,IF(FoinNécessaireMaQ-SUM(StockFoinMaQDansEntrepôt)&lt;=0,0,ROUNDUP(FoinNécessaireMaQ-SUM(StockFoinMaQDansEntrepôt),3)))</f>
        <v>#REF!</v>
      </c>
      <c r="I21" s="181"/>
      <c r="J21" s="188">
        <v>100.5</v>
      </c>
      <c r="K21" s="189" t="e">
        <f>IF(AND(CommandeFoinBQ=0,CommandeFoinMoQ=0,CommandeFoinMaQ=0),"",((PrixFoin*CommandeFoinBQ)+(PrixFoin*CommandeFoinMoQ*0.9)+(PrixFoin*CommandeFoinMaQ*0.8)))</f>
        <v>#REF!</v>
      </c>
      <c r="L21" s="181"/>
      <c r="M21" s="181"/>
      <c r="N21" s="171"/>
      <c r="O21" s="171"/>
      <c r="P21" s="171"/>
      <c r="Q21" s="171"/>
      <c r="R21" s="171"/>
      <c r="S21" s="171"/>
      <c r="T21" s="176"/>
      <c r="U21" s="173"/>
      <c r="V21" s="173"/>
      <c r="W21" s="173"/>
      <c r="X21" s="173"/>
      <c r="Y21" s="173"/>
      <c r="Z21" s="173"/>
    </row>
    <row r="22" spans="1:26" s="15" customFormat="1" x14ac:dyDescent="0.2">
      <c r="A22" s="174"/>
      <c r="B22" s="162" t="e">
        <f>IF(AND(MaïsEnsiléNécessaireBQ=0,MaïsEnsiléNécessaireMoQ=0,MaïsEnsiléNécessaireMaQ=0),"","maïs ensilé (t)")</f>
        <v>#REF!</v>
      </c>
      <c r="C22" s="255" t="e">
        <f>(VLOOKUP("Maïs ensilé",AlimentsBovins,2,FALSE)+VLOOKUP("Maïs ensilé",AlimentsPorcins,2,FALSE)+VLOOKUP("Maïs ensilé",AlimentsCaprins,2,FALSE)+VLOOKUP("Maïs ensilé",AlimentsOvins,2,FALSE)+VLOOKUP("Maïs ensilé",AlimentsLapins,2,FALSE)+VLOOKUP("Maïs ensilé",AlimentsVolailles,2,FALSE)+VLOOKUP("Maïs ensilé",AlimentsPintades,2,FALSE)+VLOOKUP("Maïs ensilé",AlimentsOies,2,FALSE)+VLOOKUP("Maïs ensilé",AlimentsCanards,2,FALSE)+VLOOKUP("Maïs ensilé",AlimentsGavageOiesEtCanards,2,FALSE)+VLOOKUP("Maïs ensilé",AlimentsBisons,2,FALSE)+VLOOKUP("Maïs ensilé",AlimentsDaims,2,FALSE)+VLOOKUP("Maïs ensilé",AlimentsChevauxSelle,2,FALSE)+VLOOKUP("Maïs ensilé",AlimentsChevauxTrait,2,FALSE)+VLOOKUP("Maïs ensilé",AlimentsPoneys,2,FALSE))/1000</f>
        <v>#REF!</v>
      </c>
      <c r="D22" s="260" t="e">
        <f>(VLOOKUP("Maïs ensilé",AlimentsBovins,3,FALSE)+VLOOKUP("Maïs ensilé",AlimentsPorcins,3,FALSE)+VLOOKUP("Maïs ensilé",AlimentsCaprins,3,FALSE)+VLOOKUP("Maïs ensilé",AlimentsOvins,3,FALSE)+VLOOKUP("Maïs ensilé",AlimentsLapins,3,FALSE)+VLOOKUP("Maïs ensilé",AlimentsVolailles,3,FALSE)+VLOOKUP("Maïs ensilé",AlimentsPintades,3,FALSE)+VLOOKUP("Maïs ensilé",AlimentsOies,3,FALSE)+VLOOKUP("Maïs ensilé",AlimentsCanards,3,FALSE)+VLOOKUP("Maïs ensilé",AlimentsGavageOiesEtCanards,3,FALSE)+VLOOKUP("Maïs ensilé",AlimentsBisons,3,FALSE)+VLOOKUP("Maïs ensilé",AlimentsDaims,3,FALSE)+VLOOKUP("Maïs ensilé",AlimentsChevauxSelle,3,FALSE)+VLOOKUP("Maïs ensilé",AlimentsChevauxTrait,3,FALSE)+VLOOKUP("Maïs ensilé",AlimentsPoneys,3,FALSE))/1000</f>
        <v>#REF!</v>
      </c>
      <c r="E22" s="261" t="e">
        <f>(VLOOKUP("Maïs ensilé",AlimentsBovins,4,FALSE)+VLOOKUP("Maïs ensilé",AlimentsPorcins,4,FALSE)+VLOOKUP("Maïs ensilé",AlimentsCaprins,4,FALSE)+VLOOKUP("Maïs ensilé",AlimentsOvins,4,FALSE)+VLOOKUP("Maïs ensilé",AlimentsLapins,4,FALSE)+VLOOKUP("Maïs ensilé",AlimentsVolailles,4,FALSE)+VLOOKUP("Maïs ensilé",AlimentsPintades,4,FALSE)+VLOOKUP("Maïs ensilé",AlimentsOies,4,FALSE)+VLOOKUP("Maïs ensilé",AlimentsCanards,4,FALSE)+VLOOKUP("Maïs ensilé",AlimentsGavageOiesEtCanards,4,FALSE)+VLOOKUP("Maïs ensilé",AlimentsBisons,4,FALSE)+VLOOKUP("Maïs ensilé",AlimentsDaims,4,FALSE)+VLOOKUP("Maïs ensilé",AlimentsChevauxSelle,4,FALSE)+VLOOKUP("Maïs ensilé",AlimentsChevauxTrait,4,FALSE)+VLOOKUP("Maïs ensilé",AlimentsPoneys,4,FALSE))/1000</f>
        <v>#REF!</v>
      </c>
      <c r="F22" s="244" t="e">
        <f>IF(MaïsEnsiléNécessaireBQ=0,,IF(MaïsEnsiléNécessaireBQ-VLOOKUP(MaïsEnsilé,StockDansSilos,3,FALSE)&lt;=0,0,ROUNDUP(MaïsEnsiléNécessaireBQ-VLOOKUP(MaïsEnsilé,StockDansSilos,3,FALSE),0)))</f>
        <v>#REF!</v>
      </c>
      <c r="G22" s="240" t="e">
        <f>IF(MaïsEnsiléNécessaireMoQ=0,,IF(MaïsEnsiléNécessaireMoQ-VLOOKUP(MaïsEnsilé,StockDansSilos,3,FALSE)&lt;=0,0,ROUNDUP(MaïsEnsiléNécessaireMoQ-VLOOKUP(MaïsEnsilé,StockDansSilos,3,FALSE),0)))</f>
        <v>#REF!</v>
      </c>
      <c r="H22" s="245" t="e">
        <f>IF(MaïsEnsiléNécessaireMaQ=0,,IF(MaïsEnsiléNécessaireMaQ-VLOOKUP(MaïsEnsilé,StockDansSilos,3,FALSE)&lt;=0,0,ROUNDUP(MaïsEnsiléNécessaireMaQ-VLOOKUP(MaïsEnsilé,StockDansSilos,3,FALSE),0)))</f>
        <v>#REF!</v>
      </c>
      <c r="I22" s="181"/>
      <c r="J22" s="186"/>
      <c r="K22" s="165" t="e">
        <f>IF(AND(CommandeMaïsEnsiléBQ=0,CommandeMaïsEnsiléMoQ=0,CommandeMaïsEnsiléMaQ=0),"",((PrixMaïsEnsilé*CommandeMaïsEnsiléBQ)+(PrixMaïsEnsilé*CommandeMaïsEnsiléMoQ*0.9)+(PrixMaïsEnsilé*CommandeMaïsEnsiléMaQ*0.8)))</f>
        <v>#REF!</v>
      </c>
      <c r="L22" s="181"/>
      <c r="M22" s="181"/>
      <c r="N22" s="171"/>
      <c r="O22" s="171"/>
      <c r="P22" s="171"/>
      <c r="Q22" s="171"/>
      <c r="R22" s="171"/>
      <c r="S22" s="171"/>
      <c r="T22" s="176"/>
      <c r="U22" s="173"/>
      <c r="V22" s="173"/>
      <c r="W22" s="173"/>
      <c r="X22" s="173"/>
      <c r="Y22" s="173"/>
      <c r="Z22" s="173"/>
    </row>
    <row r="23" spans="1:26" s="15" customFormat="1" x14ac:dyDescent="0.2">
      <c r="A23" s="174"/>
      <c r="B23" s="192" t="e">
        <f>IF(AND(MaïsGrainNécessaireBQ=0,MaïsGrainNécessaireMoQ=0,MaïsGrainNécessaireMaQ=0),"","maïs grain (t)")</f>
        <v>#REF!</v>
      </c>
      <c r="C23" s="256" t="e">
        <f>(VLOOKUP("Maïs grain",AlimentsBovins,2,FALSE)+VLOOKUP("Maïs grain",AlimentsPorcins,2,FALSE)+VLOOKUP("Maïs grain",AlimentsCaprins,2,FALSE)+VLOOKUP("Maïs grain",AlimentsOvins,2,FALSE)+VLOOKUP("Maïs grain",AlimentsLapins,2,FALSE)+VLOOKUP("Maïs grain",AlimentsVolailles,2,FALSE)+VLOOKUP("Maïs grain",AlimentsPintades,2,FALSE)+VLOOKUP("Maïs grain",AlimentsOies,2,FALSE)+VLOOKUP("Maïs grain",AlimentsCanards,2,FALSE)+VLOOKUP("Maïs grain",AlimentsGavageOiesEtCanards,2,FALSE)+VLOOKUP("Maïs grain",AlimentsBisons,2,FALSE)+VLOOKUP("Maïs grain",AlimentsDaims,2,FALSE)+VLOOKUP("Maïs grain",AlimentsChevauxSelle,2,FALSE)+VLOOKUP("Maïs grain",AlimentsChevauxTrait,2,FALSE)+VLOOKUP("Maïs grain",AlimentsPoneys,2,FALSE))/1000</f>
        <v>#REF!</v>
      </c>
      <c r="D23" s="262" t="e">
        <f>(VLOOKUP("Maïs grain",AlimentsBovins,3,FALSE)+VLOOKUP("Maïs grain",AlimentsPorcins,3,FALSE)+VLOOKUP("Maïs grain",AlimentsCaprins,3,FALSE)+VLOOKUP("Maïs grain",AlimentsOvins,3,FALSE)+VLOOKUP("Maïs grain",AlimentsLapins,3,FALSE)+VLOOKUP("Maïs grain",AlimentsVolailles,3,FALSE)+VLOOKUP("Maïs grain",AlimentsPintades,3,FALSE)+VLOOKUP("Maïs grain",AlimentsOies,3,FALSE)+VLOOKUP("Maïs grain",AlimentsCanards,3,FALSE)+VLOOKUP("Maïs grain",AlimentsGavageOiesEtCanards,3,FALSE)+VLOOKUP("Maïs grain",AlimentsBisons,3,FALSE)+VLOOKUP("Maïs grain",AlimentsDaims,3,FALSE)+VLOOKUP("Maïs grain",AlimentsChevauxSelle,3,FALSE)+VLOOKUP("Maïs grain",AlimentsChevauxTrait,3,FALSE)+VLOOKUP("Maïs grain",AlimentsPoneys,3,FALSE))/1000</f>
        <v>#REF!</v>
      </c>
      <c r="E23" s="263" t="e">
        <f>(VLOOKUP("Maïs grain",AlimentsBovins,4,FALSE)+VLOOKUP("Maïs grain",AlimentsPorcins,4,FALSE)+VLOOKUP("Maïs grain",AlimentsCaprins,4,FALSE)+VLOOKUP("Maïs grain",AlimentsOvins,4,FALSE)+VLOOKUP("Maïs grain",AlimentsLapins,4,FALSE)+VLOOKUP("Maïs grain",AlimentsVolailles,4,FALSE)+VLOOKUP("Maïs grain",AlimentsPintades,4,FALSE)+VLOOKUP("Maïs grain",AlimentsOies,4,FALSE)+VLOOKUP("Maïs grain",AlimentsCanards,4,FALSE)+VLOOKUP("Maïs grain",AlimentsGavageOiesEtCanards,4,FALSE)+VLOOKUP("Maïs grain",AlimentsBisons,4,FALSE)+VLOOKUP("Maïs grain",AlimentsDaims,4,FALSE)+VLOOKUP("Maïs grain",AlimentsChevauxSelle,4,FALSE)+VLOOKUP("Maïs grain",AlimentsChevauxTrait,4,FALSE)+VLOOKUP("Maïs grain",AlimentsPoneys,4,FALSE))/1000</f>
        <v>#REF!</v>
      </c>
      <c r="F23" s="246" t="e">
        <f>IF(MaïsGrainNécessaireBQ=0,,IF(MaïsGrainNécessaireBQ-VLOOKUP(MaïsGrain,StockDansSilos,3,FALSE)&lt;=0,0,ROUNDUP(MaïsGrainNécessaireBQ-VLOOKUP(MaïsGrain,StockDansSilos,3,FALSE),0)))</f>
        <v>#REF!</v>
      </c>
      <c r="G23" s="239" t="e">
        <f>IF(MaïsGrainNécessaireMoQ=0,,IF(MaïsGrainNécessaireMoQ-VLOOKUP(MaïsGrain,StockDansSilos,3,FALSE)&lt;=0,0,ROUNDUP(MaïsGrainNécessaireMoQ-VLOOKUP(MaïsGrain,StockDansSilos,3,FALSE),0)))</f>
        <v>#REF!</v>
      </c>
      <c r="H23" s="247" t="e">
        <f>IF(MaïsGrainNécessaireMaQ=0,,IF(MaïsGrainNécessaireMaQ-VLOOKUP(MaïsGrain,StockDansSilos,3,FALSE)&lt;=0,0,ROUNDUP(MaïsGrainNécessaireMaQ-VLOOKUP(MaïsGrain,StockDansSilos,3,FALSE),0)))</f>
        <v>#REF!</v>
      </c>
      <c r="I23" s="181"/>
      <c r="J23" s="188"/>
      <c r="K23" s="189" t="e">
        <f>IF(AND(CommandeMaïsGrainBQ=0,CommandeMaïsGrainMoQ=0,CommandeMaïsGrainMaQ=0),"",((PrixMaïsGrain*CommandeMaïsGrainBQ)+(PrixMaïsGrain*CommandeMaïsGrainMoQ*0.9)+(PrixMaïsGrain*CommandeMaïsGrainMaQ*0.8)))</f>
        <v>#REF!</v>
      </c>
      <c r="L23" s="181"/>
      <c r="M23" s="181"/>
      <c r="N23" s="171"/>
      <c r="O23" s="171"/>
      <c r="P23" s="171"/>
      <c r="Q23" s="171"/>
      <c r="R23" s="171"/>
      <c r="S23" s="171"/>
      <c r="T23" s="176"/>
      <c r="U23" s="173"/>
      <c r="V23" s="173"/>
      <c r="W23" s="173"/>
      <c r="X23" s="173"/>
      <c r="Y23" s="173"/>
      <c r="Z23" s="173"/>
    </row>
    <row r="24" spans="1:26" s="15" customFormat="1" x14ac:dyDescent="0.2">
      <c r="A24" s="174"/>
      <c r="B24" s="194" t="e">
        <f>IF(AND(MinérauxNécessaireBQ=0,MinérauxNécessaireMoQ=0,MinérauxNécessaireMaQ=0),"","minéraux + vitamines (kg)")</f>
        <v>#REF!</v>
      </c>
      <c r="C24" s="255" t="e">
        <f>(VLOOKUP("Minéraux + vitamines",AlimentsBovins,2,FALSE)+VLOOKUP("Minéraux + vitamines",AlimentsPorcins,2,FALSE)+VLOOKUP("Minéraux + vitamines",AlimentsCaprins,2,FALSE)+VLOOKUP("Minéraux + vitamines",AlimentsOvins,2,FALSE)+VLOOKUP("Minéraux + vitamines",AlimentsLapins,2,FALSE)+VLOOKUP("Minéraux + vitamines",AlimentsVolailles,2,FALSE)+VLOOKUP("Minéraux + vitamines",AlimentsPintades,2,FALSE)+VLOOKUP("Minéraux + vitamines",AlimentsOies,2,FALSE)+VLOOKUP("Minéraux + vitamines",AlimentsCanards,2,FALSE)+VLOOKUP("Minéraux + vitamines",AlimentsGavageOiesEtCanards,2,FALSE)+VLOOKUP("Minéraux + vitamines",AlimentsBisons,2,FALSE)+VLOOKUP("Minéraux + vitamines",AlimentsDaims,2,FALSE)+VLOOKUP("Minéraux + vitamines",AlimentsChevauxSelle,2,FALSE)+VLOOKUP("Minéraux + vitamines",AlimentsChevauxTrait,2,FALSE)+VLOOKUP("Minéraux + vitamines",AlimentsPoneys,2,FALSE))/1000</f>
        <v>#REF!</v>
      </c>
      <c r="D24" s="260" t="e">
        <f>(VLOOKUP("Minéraux + vitamines",AlimentsBovins,3,FALSE)+VLOOKUP("Minéraux + vitamines",AlimentsPorcins,3,FALSE)+VLOOKUP("Minéraux + vitamines",AlimentsCaprins,3,FALSE)+VLOOKUP("Minéraux + vitamines",AlimentsOvins,3,FALSE)+VLOOKUP("Minéraux + vitamines",AlimentsLapins,3,FALSE)+VLOOKUP("Minéraux + vitamines",AlimentsVolailles,3,FALSE)+VLOOKUP("Minéraux + vitamines",AlimentsPintades,3,FALSE)+VLOOKUP("Minéraux + vitamines",AlimentsOies,3,FALSE)+VLOOKUP("Minéraux + vitamines",AlimentsCanards,3,FALSE)+VLOOKUP("Minéraux + vitamines",AlimentsGavageOiesEtCanards,3,FALSE)+VLOOKUP("Minéraux + vitamines",AlimentsBisons,3,FALSE)+VLOOKUP("Minéraux + vitamines",AlimentsDaims,3,FALSE)+VLOOKUP("Minéraux + vitamines",AlimentsChevauxSelle,3,FALSE)+VLOOKUP("Minéraux + vitamines",AlimentsChevauxTrait,3,FALSE)+VLOOKUP("Minéraux + vitamines",AlimentsPoneys,3,FALSE))/1000</f>
        <v>#REF!</v>
      </c>
      <c r="E24" s="261" t="e">
        <f>(VLOOKUP("Minéraux + vitamines",AlimentsBovins,4,FALSE)+VLOOKUP("Minéraux + vitamines",AlimentsPorcins,4,FALSE)+VLOOKUP("Minéraux + vitamines",AlimentsCaprins,4,FALSE)+VLOOKUP("Minéraux + vitamines",AlimentsOvins,4,FALSE)+VLOOKUP("Minéraux + vitamines",AlimentsLapins,4,FALSE)+VLOOKUP("Minéraux + vitamines",AlimentsVolailles,4,FALSE)+VLOOKUP("Minéraux + vitamines",AlimentsPintades,4,FALSE)+VLOOKUP("Minéraux + vitamines",AlimentsOies,4,FALSE)+VLOOKUP("Minéraux + vitamines",AlimentsCanards,4,FALSE)+VLOOKUP("Minéraux + vitamines",AlimentsGavageOiesEtCanards,4,FALSE)+VLOOKUP("Minéraux + vitamines",AlimentsBisons,4,FALSE)+VLOOKUP("Minéraux + vitamines",AlimentsDaims,4,FALSE)+VLOOKUP("Minéraux + vitamines",AlimentsChevauxSelle,4,FALSE)+VLOOKUP("Minéraux + vitamines",AlimentsChevauxTrait,4,FALSE)+VLOOKUP("Minéraux + vitamines",AlimentsPoneys,4,FALSE))/1000</f>
        <v>#REF!</v>
      </c>
      <c r="F24" s="244" t="e">
        <f>IF(MinérauxNécessaireBQ=0,,IF(MinérauxNécessaireBQ-StockMinérauxBQDansEntrepôt&lt;=0,0,ROUNDUP(MinérauxNécessaireBQ-StockMinérauxBQDansEntrepôt,0)))</f>
        <v>#REF!</v>
      </c>
      <c r="G24" s="240" t="e">
        <f>IF(MinérauxNécessaireMoQ=0,,IF(MinérauxNécessaireMoQ-StockMinérauxMoQDansEntrepôt&lt;=0,0,ROUNDUP(MinérauxNécessaireMoQ-StockMinérauxMoQDansEntrepôt,0)))</f>
        <v>#REF!</v>
      </c>
      <c r="H24" s="245" t="e">
        <f>IF(MinérauxNécessaireMaQ=0,,IF(MinérauxNécessaireMaQ-StockMinérauxMaQDansEntrepôt&lt;=0,0,ROUNDUP(MinérauxNécessaireMaQ-StockMinérauxMaQDansEntrepôt,0)))</f>
        <v>#REF!</v>
      </c>
      <c r="I24" s="181"/>
      <c r="J24" s="191" t="e">
        <f>IF(Minéraux="","",1.38)</f>
        <v>#REF!</v>
      </c>
      <c r="K24" s="165" t="e">
        <f>IF(AND(CommandeMinérauxBQ=0,CommandeMinérauxMoQ=0,CommandeMinérauxMaQ=0),"",((PrixMinéraux*CommandeMinérauxBQ)+(PrixMinéraux*CommandeMinérauxMoQ*0.9)+(PrixMinéraux*CommandeMinérauxMaQ*0.8)))</f>
        <v>#REF!</v>
      </c>
      <c r="L24" s="181"/>
      <c r="M24" s="181"/>
      <c r="N24" s="171"/>
      <c r="O24" s="171"/>
      <c r="P24" s="171"/>
      <c r="Q24" s="171"/>
      <c r="R24" s="171"/>
      <c r="S24" s="171"/>
      <c r="T24" s="176"/>
      <c r="U24" s="173"/>
      <c r="V24" s="173"/>
      <c r="W24" s="173"/>
      <c r="X24" s="173"/>
      <c r="Y24" s="173"/>
      <c r="Z24" s="173"/>
    </row>
    <row r="25" spans="1:26" s="15" customFormat="1" x14ac:dyDescent="0.2">
      <c r="A25" s="174"/>
      <c r="B25" s="195" t="e">
        <f>IF(AND(OrgeNécessaireBQ=0,OrgeNécessaireMoQ=0,OrgeNécessaireMaQ=0),"","orge (t)")</f>
        <v>#REF!</v>
      </c>
      <c r="C25" s="256" t="e">
        <f>(VLOOKUP("Orge",AlimentsBovins,2,FALSE)+VLOOKUP("Orge",AlimentsPorcins,2,FALSE)+VLOOKUP("Orge",AlimentsCaprins,2,FALSE)+VLOOKUP("Orge",AlimentsOvins,2,FALSE)+VLOOKUP("Orge",AlimentsLapins,2,FALSE)+VLOOKUP("Orge",AlimentsVolailles,2,FALSE)+VLOOKUP("Orge",AlimentsPintades,2,FALSE)+VLOOKUP("Orge",AlimentsOies,2,FALSE)+VLOOKUP("Orge",AlimentsCanards,2,FALSE)+VLOOKUP("Orge",AlimentsGavageOiesEtCanards,2,FALSE)+VLOOKUP("Orge",AlimentsBisons,2,FALSE)+VLOOKUP("Orge",AlimentsDaims,2,FALSE)+VLOOKUP("Orge",AlimentsChevauxSelle,2,FALSE)+VLOOKUP("Orge",AlimentsChevauxTrait,2,FALSE)+VLOOKUP("Orge",AlimentsPoneys,2,FALSE))/1000</f>
        <v>#REF!</v>
      </c>
      <c r="D25" s="262" t="e">
        <f>(VLOOKUP("Orge",AlimentsBovins,3,FALSE)+VLOOKUP("Orge",AlimentsPorcins,3,FALSE)+VLOOKUP("Orge",AlimentsCaprins,3,FALSE)+VLOOKUP("Orge",AlimentsOvins,3,FALSE)+VLOOKUP("Orge",AlimentsLapins,3,FALSE)+VLOOKUP("Orge",AlimentsVolailles,3,FALSE)+VLOOKUP("Orge",AlimentsPintades,3,FALSE)+VLOOKUP("Orge",AlimentsOies,3,FALSE)+VLOOKUP("Orge",AlimentsCanards,3,FALSE)+VLOOKUP("Orge",AlimentsGavageOiesEtCanards,3,FALSE)+VLOOKUP("Orge",AlimentsBisons,3,FALSE)+VLOOKUP("Orge",AlimentsDaims,3,FALSE)+VLOOKUP("Orge",AlimentsChevauxSelle,3,FALSE)+VLOOKUP("Orge",AlimentsChevauxTrait,3,FALSE)+VLOOKUP("Orge",AlimentsPoneys,3,FALSE))/1000</f>
        <v>#REF!</v>
      </c>
      <c r="E25" s="263" t="e">
        <f>(VLOOKUP("Orge",AlimentsBovins,4,FALSE)+VLOOKUP("Orge",AlimentsPorcins,4,FALSE)+VLOOKUP("Orge",AlimentsCaprins,4,FALSE)+VLOOKUP("Orge",AlimentsOvins,4,FALSE)+VLOOKUP("Orge",AlimentsLapins,4,FALSE)+VLOOKUP("Orge",AlimentsVolailles,4,FALSE)+VLOOKUP("Orge",AlimentsPintades,4,FALSE)+VLOOKUP("Orge",AlimentsOies,4,FALSE)+VLOOKUP("Orge",AlimentsCanards,4,FALSE)+VLOOKUP("Orge",AlimentsGavageOiesEtCanards,4,FALSE)+VLOOKUP("Orge",AlimentsBisons,4,FALSE)+VLOOKUP("Orge",AlimentsDaims,4,FALSE)+VLOOKUP("Orge",AlimentsChevauxSelle,4,FALSE)+VLOOKUP("Orge",AlimentsChevauxTrait,4,FALSE)+VLOOKUP("Orge",AlimentsPoneys,4,FALSE))/1000</f>
        <v>#REF!</v>
      </c>
      <c r="F25" s="246" t="e">
        <f>IF(OrgeNécessaireBQ=0,,IF(OrgeNécessaireBQ-VLOOKUP(Orge,StockDansSilos,3,FALSE)&lt;=0,0,ROUNDUP(OrgeNécessaireBQ-VLOOKUP(Orge,StockDansSilos,3,FALSE),0)))</f>
        <v>#REF!</v>
      </c>
      <c r="G25" s="239" t="e">
        <f>IF(OrgeNécessaireMoQ=0,,IF(OrgeNécessaireMoQ-VLOOKUP(Orge,StockDansSilos,3,FALSE)&lt;=0,0,ROUNDUP(OrgeNécessaireMoQ-VLOOKUP(Orge,StockDansSilos,3,FALSE),0)))</f>
        <v>#REF!</v>
      </c>
      <c r="H25" s="247" t="e">
        <f>IF(OrgeNécessaireMaQ=0,,IF(OrgeNécessaireMaQ-VLOOKUP(Orge,StockDansSilos,3,FALSE)&lt;=0,0,ROUNDUP(OrgeNécessaireMaQ-VLOOKUP(Orge,StockDansSilos,3,FALSE),0)))</f>
        <v>#REF!</v>
      </c>
      <c r="I25" s="181"/>
      <c r="J25" s="188">
        <v>150</v>
      </c>
      <c r="K25" s="189" t="e">
        <f>IF(AND(CommandeOrgeBQ=0,CommandeOrgeMoQ=0,CommandeOrgeMaQ=0),"",((PrixOrge*CommandeOrgeBQ)+(PrixOrge*CommandeOrgeMoQ*0.9)+(PrixOrge*CommandeOrgeMaQ*0.8)))</f>
        <v>#REF!</v>
      </c>
      <c r="L25" s="181"/>
      <c r="M25" s="181"/>
      <c r="N25" s="196"/>
      <c r="O25" s="171"/>
      <c r="P25" s="171"/>
      <c r="Q25" s="171"/>
      <c r="R25" s="171"/>
      <c r="S25" s="171"/>
      <c r="T25" s="176"/>
      <c r="U25" s="173"/>
      <c r="V25" s="173"/>
      <c r="W25" s="173"/>
      <c r="X25" s="173"/>
      <c r="Y25" s="173"/>
      <c r="Z25" s="173"/>
    </row>
    <row r="26" spans="1:26" s="15" customFormat="1" x14ac:dyDescent="0.2">
      <c r="A26" s="174"/>
      <c r="B26" s="194" t="e">
        <f>IF(AND(PailleNécessaireBQ=0,PailleNécessaireMoQ=0,PailleNécessaireMaQ=0),"","paille (t)")</f>
        <v>#REF!</v>
      </c>
      <c r="C26" s="255" t="e">
        <f>(VLOOKUP("Paille",AlimentsBovins,2,FALSE)+VLOOKUP("Paille",AlimentsPorcins,2,FALSE)+VLOOKUP("Paille",AlimentsCaprins,2,FALSE)+VLOOKUP("Paille",AlimentsOvins,2,FALSE)+VLOOKUP("Paille",AlimentsLapins,2,FALSE)+VLOOKUP("Paille",AlimentsVolailles,2,FALSE)+VLOOKUP("Paille",AlimentsPintades,2,FALSE)+VLOOKUP("Paille",AlimentsOies,2,FALSE)+VLOOKUP("Paille",AlimentsCanards,2,FALSE)+VLOOKUP("Paille",AlimentsGavageOiesEtCanards,2,FALSE)+VLOOKUP("Paille",AlimentsBisons,2,FALSE)+VLOOKUP("Paille",AlimentsDaims,2,FALSE)+VLOOKUP("Paille",AlimentsChevauxSelle,2,FALSE)+VLOOKUP("Paille",AlimentsChevauxTrait,2,FALSE)+VLOOKUP("Paille",AlimentsPoneys,2,FALSE))/1000</f>
        <v>#REF!</v>
      </c>
      <c r="D26" s="260" t="e">
        <f>(VLOOKUP("Paille",AlimentsBovins,3,FALSE)+VLOOKUP("Paille",AlimentsPorcins,3,FALSE)+VLOOKUP("Paille",AlimentsCaprins,3,FALSE)+VLOOKUP("Paille",AlimentsOvins,3,FALSE)+VLOOKUP("Paille",AlimentsLapins,3,FALSE)+VLOOKUP("Paille",AlimentsVolailles,3,FALSE)+VLOOKUP("Paille",AlimentsPintades,3,FALSE)+VLOOKUP("Paille",AlimentsOies,3,FALSE)+VLOOKUP("Paille",AlimentsCanards,3,FALSE)+VLOOKUP("Paille",AlimentsGavageOiesEtCanards,3,FALSE)+VLOOKUP("Paille",AlimentsBisons,3,FALSE)+VLOOKUP("Paille",AlimentsDaims,3,FALSE)+VLOOKUP("Paille",AlimentsChevauxSelle,3,FALSE)+VLOOKUP("Paille",AlimentsChevauxTrait,3,FALSE)+VLOOKUP("Paille",AlimentsPoneys,3,FALSE))/1000</f>
        <v>#REF!</v>
      </c>
      <c r="E26" s="261" t="e">
        <f>(VLOOKUP("Paille",AlimentsBovins,4,FALSE)+VLOOKUP("Paille",AlimentsPorcins,4,FALSE)+VLOOKUP("Paille",AlimentsCaprins,4,FALSE)+VLOOKUP("Paille",AlimentsOvins,4,FALSE)+VLOOKUP("Paille",AlimentsLapins,4,FALSE)+VLOOKUP("Paille",AlimentsVolailles,4,FALSE)+VLOOKUP("Paille",AlimentsPintades,4,FALSE)+VLOOKUP("Paille",AlimentsOies,4,FALSE)+VLOOKUP("Paille",AlimentsCanards,4,FALSE)+VLOOKUP("Paille",AlimentsGavageOiesEtCanards,4,FALSE)+VLOOKUP("Paille",AlimentsBisons,4,FALSE)+VLOOKUP("Paille",AlimentsDaims,4,FALSE)+VLOOKUP("Paille",AlimentsChevauxSelle,4,FALSE)+VLOOKUP("Paille",AlimentsChevauxTrait,4,FALSE)+VLOOKUP("Paille",AlimentsPoneys,4,FALSE))/1000</f>
        <v>#REF!</v>
      </c>
      <c r="F26" s="244" t="e">
        <f>IF(PailleNécessaireBQ=0,,IF(PailleNécessaireBQ-SUM(StockPailleBQDansEntrepôt)&lt;=0,0,ROUNDUP(PailleNécessaireBQ-SUM(StockPailleBQDansEntrepôt),3)))</f>
        <v>#REF!</v>
      </c>
      <c r="G26" s="240" t="e">
        <f>IF(PailleNécessaireMoQ=0,,IF(PailleNécessaireMoQ-SUM(StockPailleMoQDansEntrepôt)&lt;=0,0,ROUNDUP(PailleNécessaireMoQ-SUM(StockPailleMoQDansEntrepôt),3)))</f>
        <v>#REF!</v>
      </c>
      <c r="H26" s="245" t="e">
        <f>IF(PailleNécessaireMaQ=0,,IF(PailleNécessaireMaQ-SUM(StockPailleMaQDansEntrepôt)&lt;=0,0,ROUNDUP(PailleNécessaireMaQ-SUM(StockPailleMaQDansEntrepôt),3)))</f>
        <v>#REF!</v>
      </c>
      <c r="I26" s="181"/>
      <c r="J26" s="186">
        <v>58.5</v>
      </c>
      <c r="K26" s="165" t="e">
        <f>IF(AND(CommandePailleBQ=0,CommandePailleMoQ=0,CommandePailleMaQ=0),"",((PrixPaille*CommandePailleBQ)+(PrixPaille*CommandePailleMoQ*0.9)+(PrixPaille*CommandePailleMaQ*0.8)))</f>
        <v>#REF!</v>
      </c>
      <c r="L26" s="197" t="str">
        <f>"en vaccin tu payes "</f>
        <v xml:space="preserve">en vaccin tu payes </v>
      </c>
      <c r="M26" s="197" t="e">
        <f>SUM(TotalBovins)*PrixVaccinBovin+SUM(TotalBisons)*PrixVaccinBison+SUM(TotalCaprins)*PrixVaccinCaprin+SUM(TotalPorcins)*PrixVaccinPorcin+SUM(TotalVolailles)*PrixVaccinVolaille+SUM(TotalPintades)*PrixVaccinPintade+SUM(TotalLapins)*PrixVaccinLapin+SUM(TotalOies)*PrixVaccinOie+SUM(TotalCanards)*PrixVaccinCanard+SUM(TotalOvins)*PrixVaccinOvin+SUM(TotalDaims)*PrixVaccinDaim+SUM(TotalChevauxSelle)*PrixVaccinChevauxSelle+SUM(TotalChevauxTrait)*PrixVaccinChevauxTrait+SUM(TotalPoneys)*prixVaccinPoney&amp;"€/an"</f>
        <v>#REF!</v>
      </c>
      <c r="N26" s="181"/>
      <c r="O26" s="171"/>
      <c r="P26" s="171"/>
      <c r="Q26" s="171"/>
      <c r="R26" s="171"/>
      <c r="S26" s="171"/>
      <c r="T26" s="176"/>
      <c r="U26" s="173"/>
      <c r="V26" s="173"/>
      <c r="W26" s="173"/>
      <c r="X26" s="173"/>
      <c r="Y26" s="173"/>
      <c r="Z26" s="173"/>
    </row>
    <row r="27" spans="1:26" s="15" customFormat="1" x14ac:dyDescent="0.2">
      <c r="A27" s="174"/>
      <c r="B27" s="195" t="e">
        <f>IF(AND(PoisNécessaireBQ=0,PoisNécessaireMoQ=0,PoisNécessaireMaQ=0),"","pois (t)")</f>
        <v>#REF!</v>
      </c>
      <c r="C27" s="256" t="e">
        <f>(VLOOKUP("Pois",AlimentsBovins,2,FALSE)+VLOOKUP("Pois",AlimentsPorcins,2,FALSE)+VLOOKUP("Pois",AlimentsCaprins,2,FALSE)+VLOOKUP("Pois",AlimentsOvins,2,FALSE)+VLOOKUP("Pois",AlimentsLapins,2,FALSE)+VLOOKUP("Pois",AlimentsVolailles,2,FALSE)+VLOOKUP("Pois",AlimentsPintades,2,FALSE)+VLOOKUP("Pois",AlimentsOies,2,FALSE)+VLOOKUP("Pois",AlimentsCanards,2,FALSE)+VLOOKUP("Pois",AlimentsGavageOiesEtCanards,2,FALSE)+VLOOKUP("Pois",AlimentsBisons,2,FALSE)+VLOOKUP("Pois",AlimentsDaims,2,FALSE)+VLOOKUP("Pois",AlimentsChevauxSelle,2,FALSE)+VLOOKUP("Pois",AlimentsChevauxTrait,2,FALSE)+VLOOKUP("Pois",AlimentsPoneys,2,FALSE))/1000</f>
        <v>#REF!</v>
      </c>
      <c r="D27" s="262" t="e">
        <f>(VLOOKUP("Pois",AlimentsBovins,3,FALSE)+VLOOKUP("Pois",AlimentsPorcins,3,FALSE)+VLOOKUP("Pois",AlimentsCaprins,3,FALSE)+VLOOKUP("Pois",AlimentsOvins,3,FALSE)+VLOOKUP("Pois",AlimentsLapins,3,FALSE)+VLOOKUP("Pois",AlimentsVolailles,3,FALSE)+VLOOKUP("Pois",AlimentsPintades,3,FALSE)+VLOOKUP("Pois",AlimentsOies,3,FALSE)+VLOOKUP("Pois",AlimentsCanards,3,FALSE)+VLOOKUP("Pois",AlimentsGavageOiesEtCanards,3,FALSE)+VLOOKUP("Pois",AlimentsBisons,3,FALSE)+VLOOKUP("Pois",AlimentsDaims,3,FALSE)+VLOOKUP("Pois",AlimentsChevauxSelle,3,FALSE)+VLOOKUP("Pois",AlimentsChevauxTrait,3,FALSE)+VLOOKUP("Pois",AlimentsPoneys,3,FALSE))/1000</f>
        <v>#REF!</v>
      </c>
      <c r="E27" s="263" t="e">
        <f>(VLOOKUP("Pois",AlimentsBovins,4,FALSE)+VLOOKUP("Pois",AlimentsPorcins,4,FALSE)+VLOOKUP("Pois",AlimentsCaprins,4,FALSE)+VLOOKUP("Pois",AlimentsOvins,4,FALSE)+VLOOKUP("Pois",AlimentsLapins,4,FALSE)+VLOOKUP("Pois",AlimentsVolailles,4,FALSE)+VLOOKUP("Pois",AlimentsPintades,4,FALSE)+VLOOKUP("Pois",AlimentsOies,4,FALSE)+VLOOKUP("Pois",AlimentsCanards,4,FALSE)+VLOOKUP("Pois",AlimentsGavageOiesEtCanards,4,FALSE)+VLOOKUP("Pois",AlimentsBisons,4,FALSE)+VLOOKUP("Pois",AlimentsDaims,4,FALSE)+VLOOKUP("Pois",AlimentsChevauxSelle,4,FALSE)+VLOOKUP("Pois",AlimentsChevauxTrait,4,FALSE)+VLOOKUP("Pois",AlimentsPoneys,4,FALSE))/1000</f>
        <v>#REF!</v>
      </c>
      <c r="F27" s="246" t="e">
        <f>IF(PoisNécessaireBQ=0,,IF(PoisNécessaireBQ-VLOOKUP(Pois,StockDansSilos,3,FALSE)&lt;=0,0,ROUNDUP(PoisNécessaireBQ-VLOOKUP(Pois,StockDansSilos,3,FALSE),0)))</f>
        <v>#REF!</v>
      </c>
      <c r="G27" s="239" t="e">
        <f>IF(PoisNécessaireMoQ=0,,IF(PoisNécessaireMoQ-VLOOKUP(Pois,StockDansSilos,3,FALSE)&lt;=0,0,ROUNDUP(PoisNécessaireMoQ-VLOOKUP(Pois,StockDansSilos,3,FALSE),0)))</f>
        <v>#REF!</v>
      </c>
      <c r="H27" s="247" t="e">
        <f>IF(PoisNécessaireMaQ=0,,IF(PoisNécessaireMaQ-VLOOKUP(Pois,StockDansSilos,3,FALSE)&lt;=0,0,ROUNDUP(PoisNécessaireMaQ-VLOOKUP(Pois,StockDansSilos,3,FALSE),0)))</f>
        <v>#REF!</v>
      </c>
      <c r="I27" s="181"/>
      <c r="J27" s="188"/>
      <c r="K27" s="189" t="e">
        <f>IF(AND(CommandePoisBQ=0,CommandePoisMoQ=0,CommandePoisMaQ=0),"",((PrixPois*CommandePoisBQ)+(PrixPois*CommandePoisMoQ*0.9)+(PrixPois*CommandePoisMaQ*0.8)))</f>
        <v>#REF!</v>
      </c>
      <c r="L27" s="181"/>
      <c r="M27" s="181"/>
      <c r="N27" s="171"/>
      <c r="O27" s="171"/>
      <c r="P27" s="171"/>
      <c r="Q27" s="171"/>
      <c r="R27" s="171"/>
      <c r="S27" s="171"/>
      <c r="T27" s="176"/>
      <c r="U27" s="173"/>
      <c r="V27" s="173"/>
      <c r="W27" s="173"/>
      <c r="X27" s="173"/>
      <c r="Y27" s="173"/>
      <c r="Z27" s="173"/>
    </row>
    <row r="28" spans="1:26" s="15" customFormat="1" x14ac:dyDescent="0.2">
      <c r="A28" s="174"/>
      <c r="B28" s="194" t="e">
        <f>IF(AND(SeigleNécessaireBQ=0,SeigleNécessaireMoQ=0,SeigleNécessaireMaQ=0),"","seigle (t)")</f>
        <v>#REF!</v>
      </c>
      <c r="C28" s="255" t="e">
        <f>(VLOOKUP("Seigle",AlimentsBovins,2,FALSE)+VLOOKUP("Seigle",AlimentsPorcins,2,FALSE)+VLOOKUP("Seigle",AlimentsCaprins,2,FALSE)+VLOOKUP("Seigle",AlimentsOvins,2,FALSE)+VLOOKUP("Seigle",AlimentsLapins,2,FALSE)+VLOOKUP("Seigle",AlimentsVolailles,2,FALSE)+VLOOKUP("Seigle",AlimentsPintades,2,FALSE)+VLOOKUP("Seigle",AlimentsOies,2,FALSE)+VLOOKUP("Seigle",AlimentsCanards,2,FALSE)+VLOOKUP("Seigle",AlimentsGavageOiesEtCanards,2,FALSE)+VLOOKUP("Seigle",AlimentsBisons,2,FALSE)+VLOOKUP("Seigle",AlimentsDaims,2,FALSE)+VLOOKUP("Seigle",AlimentsChevauxSelle,2,FALSE)+VLOOKUP("Seigle",AlimentsChevauxTrait,2,FALSE)+VLOOKUP("Seigle",AlimentsPoneys,2,FALSE))/1000</f>
        <v>#REF!</v>
      </c>
      <c r="D28" s="260" t="e">
        <f>(VLOOKUP("Seigle",AlimentsBovins,3,FALSE)+VLOOKUP("Seigle",AlimentsPorcins,3,FALSE)+VLOOKUP("Seigle",AlimentsCaprins,3,FALSE)+VLOOKUP("Seigle",AlimentsOvins,3,FALSE)+VLOOKUP("Seigle",AlimentsLapins,3,FALSE)+VLOOKUP("Seigle",AlimentsVolailles,3,FALSE)+VLOOKUP("Seigle",AlimentsPintades,3,FALSE)+VLOOKUP("Seigle",AlimentsOies,3,FALSE)+VLOOKUP("Seigle",AlimentsCanards,3,FALSE)+VLOOKUP("Seigle",AlimentsGavageOiesEtCanards,3,FALSE)+VLOOKUP("Seigle",AlimentsBisons,3,FALSE)+VLOOKUP("Seigle",AlimentsDaims,3,FALSE)+VLOOKUP("Seigle",AlimentsChevauxSelle,3,FALSE)+VLOOKUP("Seigle",AlimentsChevauxTrait,3,FALSE)+VLOOKUP("Seigle",AlimentsPoneys,3,FALSE))/1000</f>
        <v>#REF!</v>
      </c>
      <c r="E28" s="261" t="e">
        <f>(VLOOKUP("Seigle",AlimentsBovins,4,FALSE)+VLOOKUP("Seigle",AlimentsPorcins,4,FALSE)+VLOOKUP("Seigle",AlimentsCaprins,4,FALSE)+VLOOKUP("Seigle",AlimentsOvins,4,FALSE)+VLOOKUP("Seigle",AlimentsLapins,4,FALSE)+VLOOKUP("Seigle",AlimentsVolailles,4,FALSE)+VLOOKUP("Seigle",AlimentsPintades,4,FALSE)+VLOOKUP("Seigle",AlimentsOies,4,FALSE)+VLOOKUP("Seigle",AlimentsCanards,4,FALSE)+VLOOKUP("Seigle",AlimentsGavageOiesEtCanards,4,FALSE)+VLOOKUP("Seigle",AlimentsBisons,4,FALSE)+VLOOKUP("Seigle",AlimentsDaims,4,FALSE)+VLOOKUP("Seigle",AlimentsChevauxSelle,4,FALSE)+VLOOKUP("Seigle",AlimentsChevauxTrait,4,FALSE)+VLOOKUP("Seigle",AlimentsPoneys,4,FALSE))/1000</f>
        <v>#REF!</v>
      </c>
      <c r="F28" s="244" t="e">
        <f>IF(SeigleNécessaireBQ=0,,IF(SeigleNécessaireBQ-VLOOKUP(Seigle,StockDansSilos,3,FALSE)&lt;=0,0,ROUNDUP(SeigleNécessaireBQ-VLOOKUP(Seigle,StockDansSilos,3,FALSE),0)))</f>
        <v>#REF!</v>
      </c>
      <c r="G28" s="240" t="e">
        <f>IF(SeigleNécessaireMoQ=0,,IF(SeigleNécessaireMoQ-VLOOKUP(Seigle,StockDansSilos,3,FALSE)&lt;=0,0,ROUNDUP(SeigleNécessaireMoQ-VLOOKUP(Seigle,StockDansSilos,3,FALSE),0)))</f>
        <v>#REF!</v>
      </c>
      <c r="H28" s="245" t="e">
        <f>IF(SeigleNécessaireMaQ=0,,IF(SeigleNécessaireMaQ-VLOOKUP(Seigle,StockDansSilos,3,FALSE)&lt;=0,0,ROUNDUP(SeigleNécessaireMaQ-VLOOKUP(Seigle,StockDansSilos,3,FALSE),0)))</f>
        <v>#REF!</v>
      </c>
      <c r="I28" s="181"/>
      <c r="J28" s="186"/>
      <c r="K28" s="165" t="e">
        <f>IF(AND(CommandeSeigleBQ=0,CommandeSeigleMoQ=0,CommandeSeigleMaQ=0),"",((PrixSeigle*CommandeSeigleBQ)+(PrixSeigle*CommandeSeigleMoQ*0.9)+(PrixSeigle*CommandeSeigleMaQ*0.8)))</f>
        <v>#REF!</v>
      </c>
      <c r="L28" s="181"/>
      <c r="M28" s="181"/>
      <c r="N28" s="171"/>
      <c r="O28" s="171"/>
      <c r="P28" s="171"/>
      <c r="Q28" s="171"/>
      <c r="R28" s="171"/>
      <c r="S28" s="171"/>
      <c r="T28" s="176"/>
    </row>
    <row r="29" spans="1:26" s="15" customFormat="1" x14ac:dyDescent="0.2">
      <c r="A29" s="174"/>
      <c r="B29" s="195" t="e">
        <f>IF(AND(SojaNécessaireBQ=0,SojaNécessaireMoQ=0,SojaNécessaireMaQ=0),"","soja (t)")</f>
        <v>#REF!</v>
      </c>
      <c r="C29" s="256" t="e">
        <f>(VLOOKUP("Soja",AlimentsBovins,2,FALSE)+VLOOKUP("Soja",AlimentsPorcins,2,FALSE)+VLOOKUP("Soja",AlimentsCaprins,2,FALSE)+VLOOKUP("Soja",AlimentsOvins,2,FALSE)+VLOOKUP("Soja",AlimentsLapins,2,FALSE)+VLOOKUP("Soja",AlimentsVolailles,2,FALSE)+VLOOKUP("Soja",AlimentsPintades,2,FALSE)+VLOOKUP("Soja",AlimentsOies,2,FALSE)+VLOOKUP("Soja",AlimentsCanards,2,FALSE)+VLOOKUP("Soja",AlimentsGavageOiesEtCanards,2,FALSE)+VLOOKUP("Soja",AlimentsBisons,2,FALSE)+VLOOKUP("Soja",AlimentsDaims,2,FALSE)+VLOOKUP("Soja",AlimentsChevauxSelle,2,FALSE)+VLOOKUP("Soja",AlimentsChevauxTrait,2,FALSE)+VLOOKUP("Soja",AlimentsPoneys,2,FALSE))/1000</f>
        <v>#REF!</v>
      </c>
      <c r="D29" s="262" t="e">
        <f>(VLOOKUP("Soja",AlimentsBovins,3,FALSE)+VLOOKUP("Soja",AlimentsPorcins,3,FALSE)+VLOOKUP("Soja",AlimentsCaprins,3,FALSE)+VLOOKUP("Soja",AlimentsOvins,3,FALSE)+VLOOKUP("Soja",AlimentsLapins,3,FALSE)+VLOOKUP("Soja",AlimentsVolailles,3,FALSE)+VLOOKUP("Soja",AlimentsPintades,3,FALSE)+VLOOKUP("Soja",AlimentsOies,3,FALSE)+VLOOKUP("Soja",AlimentsCanards,3,FALSE)+VLOOKUP("Soja",AlimentsGavageOiesEtCanards,3,FALSE)+VLOOKUP("Soja",AlimentsBisons,3,FALSE)+VLOOKUP("Soja",AlimentsDaims,3,FALSE)+VLOOKUP("Soja",AlimentsChevauxSelle,3,FALSE)+VLOOKUP("Soja",AlimentsChevauxTrait,3,FALSE)+VLOOKUP("Soja",AlimentsPoneys,3,FALSE))/1000</f>
        <v>#REF!</v>
      </c>
      <c r="E29" s="263" t="e">
        <f>(VLOOKUP("Soja",AlimentsBovins,4,FALSE)+VLOOKUP("Soja",AlimentsPorcins,4,FALSE)+VLOOKUP("Soja",AlimentsCaprins,4,FALSE)+VLOOKUP("Soja",AlimentsOvins,4,FALSE)+VLOOKUP("Soja",AlimentsLapins,4,FALSE)+VLOOKUP("Soja",AlimentsVolailles,4,FALSE)+VLOOKUP("Soja",AlimentsPintades,4,FALSE)+VLOOKUP("Soja",AlimentsOies,4,FALSE)+VLOOKUP("Soja",AlimentsCanards,4,FALSE)+VLOOKUP("Soja",AlimentsGavageOiesEtCanards,4,FALSE)+VLOOKUP("Soja",AlimentsBisons,4,FALSE)+VLOOKUP("Soja",AlimentsDaims,4,FALSE)+VLOOKUP("Soja",AlimentsChevauxSelle,4,FALSE)+VLOOKUP("Soja",AlimentsChevauxTrait,4,FALSE)+VLOOKUP("Soja",AlimentsPoneys,4,FALSE))/1000</f>
        <v>#REF!</v>
      </c>
      <c r="F29" s="246" t="e">
        <f>IF(SojaNécessaireBQ=0,,IF(SojaNécessaireBQ-VLOOKUP(Soja,StockDansSilos,3,FALSE)&lt;=0,0,ROUNDUP(SojaNécessaireBQ-VLOOKUP(Soja,StockDansSilos,3,FALSE),0)))</f>
        <v>#REF!</v>
      </c>
      <c r="G29" s="239" t="e">
        <f>IF(SojaNécessaireMoQ=0,,IF(SojaNécessaireMoQ-VLOOKUP(Soja,StockDansSilos,3,FALSE)&lt;=0,0,ROUNDUP(SojaNécessaireMoQ-VLOOKUP(Soja,StockDansSilos,3,FALSE),0)))</f>
        <v>#REF!</v>
      </c>
      <c r="H29" s="247" t="e">
        <f>IF(SojaNécessaireMaQ=0,,IF(SojaNécessaireMaQ-VLOOKUP(Soja,StockDansSilos,3,FALSE)&lt;=0,0,ROUNDUP(SojaNécessaireMaQ-VLOOKUP(Soja,StockDansSilos,3,FALSE),0)))</f>
        <v>#REF!</v>
      </c>
      <c r="I29" s="181"/>
      <c r="J29" s="188"/>
      <c r="K29" s="189" t="e">
        <f>IF(AND(CommandeSojaBQ=0,CommandeSojaMoQ=0,CommandeSojaMaQ=0),"",((PrixSoja*CommandeSojaBQ)+(PrixSoja*CommandeSojaMoQ*0.9)+(PrixSoja*CommandeSojaMaQ*0.8)))</f>
        <v>#REF!</v>
      </c>
      <c r="L29" s="181"/>
      <c r="M29" s="181"/>
      <c r="N29" s="181"/>
      <c r="O29" s="171"/>
      <c r="P29" s="171"/>
      <c r="Q29" s="171"/>
      <c r="R29" s="171"/>
      <c r="S29" s="171"/>
      <c r="T29" s="176"/>
    </row>
    <row r="30" spans="1:26" s="15" customFormat="1" x14ac:dyDescent="0.2">
      <c r="A30" s="174"/>
      <c r="B30" s="162" t="e">
        <f>IF(AND(SorghoEnsiléNécessaireBQ=0,SorghoEnsiléNécessaireMoQ=0,SorghoEnsiléNécessaireMaQ=0),"","sorgho ensilé (t)")</f>
        <v>#REF!</v>
      </c>
      <c r="C30" s="257" t="e">
        <f>(VLOOKUP("Sorgho ensilé",AlimentsBovins,2,FALSE)+VLOOKUP("Sorgho ensilé",AlimentsPorcins,2,FALSE)+VLOOKUP("Sorgho ensilé",AlimentsCaprins,2,FALSE)+VLOOKUP("Sorgho ensilé",AlimentsOvins,2,FALSE)+VLOOKUP("Sorgho ensilé",AlimentsLapins,2,FALSE)+VLOOKUP("Sorgho ensilé",AlimentsVolailles,2,FALSE)+VLOOKUP("Sorgho ensilé",AlimentsPintades,2,FALSE)+VLOOKUP("Sorgho ensilé",AlimentsOies,2,FALSE)+VLOOKUP("Sorgho ensilé",AlimentsCanards,2,FALSE)+VLOOKUP("Sorgho ensilé",AlimentsGavageOiesEtCanards,2,FALSE)+VLOOKUP("Sorgho ensilé",AlimentsBisons,2,FALSE)+VLOOKUP("Sorgho ensilé",AlimentsDaims,2,FALSE)+VLOOKUP("Sorgho ensilé",AlimentsChevauxSelle,2,FALSE)+VLOOKUP("Sorgho ensilé",AlimentsChevauxTrait,2,FALSE)+VLOOKUP("Sorgho ensilé",AlimentsPoneys,2,FALSE))/1000</f>
        <v>#REF!</v>
      </c>
      <c r="D30" s="264" t="e">
        <f>(VLOOKUP("Sorgho ensilé",AlimentsBovins,3,FALSE)+VLOOKUP("Sorgho ensilé",AlimentsPorcins,3,FALSE)+VLOOKUP("Sorgho ensilé",AlimentsCaprins,3,FALSE)+VLOOKUP("Sorgho ensilé",AlimentsOvins,3,FALSE)+VLOOKUP("Sorgho ensilé",AlimentsLapins,3,FALSE)+VLOOKUP("Sorgho ensilé",AlimentsVolailles,3,FALSE)+VLOOKUP("Sorgho ensilé",AlimentsPintades,3,FALSE)+VLOOKUP("Sorgho ensilé",AlimentsOies,3,FALSE)+VLOOKUP("Sorgho ensilé",AlimentsCanards,3,FALSE)+VLOOKUP("Sorgho ensilé",AlimentsGavageOiesEtCanards,3,FALSE)+VLOOKUP("Sorgho ensilé",AlimentsBisons,3,FALSE)+VLOOKUP("Sorgho ensilé",AlimentsDaims,3,FALSE)+VLOOKUP("Sorgho ensilé",AlimentsChevauxSelle,3,FALSE)+VLOOKUP("Sorgho ensilé",AlimentsChevauxTrait,3,FALSE)+VLOOKUP("Sorgho ensilé",AlimentsPoneys,3,FALSE))/1000</f>
        <v>#REF!</v>
      </c>
      <c r="E30" s="265" t="e">
        <f>(VLOOKUP("Sorgho ensilé",AlimentsBovins,4,FALSE)+VLOOKUP("Sorgho ensilé",AlimentsPorcins,4,FALSE)+VLOOKUP("Sorgho ensilé",AlimentsCaprins,4,FALSE)+VLOOKUP("Sorgho ensilé",AlimentsOvins,4,FALSE)+VLOOKUP("Sorgho ensilé",AlimentsLapins,4,FALSE)+VLOOKUP("Sorgho ensilé",AlimentsVolailles,4,FALSE)+VLOOKUP("Sorgho ensilé",AlimentsPintades,4,FALSE)+VLOOKUP("Sorgho ensilé",AlimentsOies,4,FALSE)+VLOOKUP("Sorgho ensilé",AlimentsCanards,4,FALSE)+VLOOKUP("Sorgho ensilé",AlimentsGavageOiesEtCanards,4,FALSE)+VLOOKUP("Sorgho ensilé",AlimentsBisons,4,FALSE)+VLOOKUP("Sorgho ensilé",AlimentsDaims,4,FALSE)+VLOOKUP("Sorgho ensilé",AlimentsChevauxSelle,4,FALSE)+VLOOKUP("Sorgho ensilé",AlimentsChevauxTrait,4,FALSE)+VLOOKUP("Sorgho ensilé",AlimentsPoneys,4,FALSE))/1000</f>
        <v>#REF!</v>
      </c>
      <c r="F30" s="244" t="e">
        <f>IF(SorghoEnsiléNécessaireBQ=0,,IF(SorghoEnsiléNécessaireBQ-VLOOKUP(SorghoEnsilé,StockDansSilos,3,FALSE)&lt;=0,0,ROUNDUP(SorghoEnsiléNécessaireBQ-VLOOKUP(SorghoEnsilé,StockDansSilos,3,FALSE),0)))</f>
        <v>#REF!</v>
      </c>
      <c r="G30" s="240" t="e">
        <f>IF(SorghoEnsiléNécessaireMoQ=0,,IF(SorghoEnsiléNécessaireMoQ-VLOOKUP(SorghoEnsilé,StockDansSilos,3,FALSE)&lt;=0,0,ROUNDUP(SorghoEnsiléNécessaireMoQ-VLOOKUP(SorghoEnsilé,StockDansSilos,3,FALSE),0)))</f>
        <v>#REF!</v>
      </c>
      <c r="H30" s="245" t="e">
        <f>IF(SorghoEnsiléNécessaireMaQ=0,,IF(SorghoEnsiléNécessaireMaQ-VLOOKUP(SorghoEnsilé,StockDansSilos,3,FALSE)&lt;=0,0,ROUNDUP(SorghoEnsiléNécessaireMaQ-VLOOKUP(SorghoEnsilé,StockDansSilos,3,FALSE),0)))</f>
        <v>#REF!</v>
      </c>
      <c r="I30" s="181"/>
      <c r="J30" s="186"/>
      <c r="K30" s="165" t="e">
        <f>IF(AND(CommandeSorghoEnsiléBQ=0,CommandeSorghoEnsiléMoQ=0,CommandeSorghoEnsiléMaQ=0),"",((PrixSorghoEnsilé*CommandeSorghoEnsiléBQ)+(PrixSorghoEnsilé*CommandeSorghoEnsiléMoQ*0.9)+(PrixSorghoEnsilé*CommandeSorghoEnsiléMaQ*0.8)))</f>
        <v>#REF!</v>
      </c>
      <c r="L30" s="181"/>
      <c r="M30" s="171"/>
      <c r="N30" s="178"/>
      <c r="O30" s="171"/>
      <c r="P30" s="171"/>
      <c r="Q30" s="171"/>
      <c r="R30" s="171"/>
      <c r="S30" s="171"/>
      <c r="T30" s="176"/>
    </row>
    <row r="31" spans="1:26" s="15" customFormat="1" x14ac:dyDescent="0.2">
      <c r="A31" s="174"/>
      <c r="B31" s="192" t="e">
        <f>IF(AND(TournesolNécessaireBQ=0,TournesolNécessaireMoQ=0,TournesolNécessaireMaQ=0),"","tournesol (t)")</f>
        <v>#REF!</v>
      </c>
      <c r="C31" s="258" t="e">
        <f>(VLOOKUP("Tournesol",AlimentsBovins,2,FALSE)+VLOOKUP("Tournesol",AlimentsPorcins,2,FALSE)+VLOOKUP("Tournesol",AlimentsCaprins,2,FALSE)+VLOOKUP("Tournesol",AlimentsOvins,2,FALSE)+VLOOKUP("Tournesol",AlimentsLapins,2,FALSE)+VLOOKUP("Tournesol",AlimentsVolailles,2,FALSE)+VLOOKUP("Tournesol",AlimentsPintades,2,FALSE)+VLOOKUP("Tournesol",AlimentsOies,2,FALSE)+VLOOKUP("Tournesol",AlimentsCanards,2,FALSE)+VLOOKUP("Tournesol",AlimentsGavageOiesEtCanards,2,FALSE)+VLOOKUP("Tournesol",AlimentsBisons,2,FALSE)+VLOOKUP("Tournesol",AlimentsDaims,2,FALSE)+VLOOKUP("Tournesol",AlimentsChevauxSelle,2,FALSE)+VLOOKUP("Tournesol",AlimentsChevauxTrait,2,FALSE)+VLOOKUP("Tournesol",AlimentsPoneys,2,FALSE))/1000</f>
        <v>#REF!</v>
      </c>
      <c r="D31" s="266" t="e">
        <f>(VLOOKUP("Tournesol",AlimentsBovins,3,FALSE)+VLOOKUP("Tournesol",AlimentsPorcins,3,FALSE)+VLOOKUP("Tournesol",AlimentsCaprins,3,FALSE)+VLOOKUP("Tournesol",AlimentsOvins,3,FALSE)+VLOOKUP("Tournesol",AlimentsLapins,3,FALSE)+VLOOKUP("Tournesol",AlimentsVolailles,3,FALSE)+VLOOKUP("Tournesol",AlimentsPintades,3,FALSE)+VLOOKUP("Tournesol",AlimentsOies,3,FALSE)+VLOOKUP("Tournesol",AlimentsCanards,3,FALSE)+VLOOKUP("Tournesol",AlimentsGavageOiesEtCanards,3,FALSE)+VLOOKUP("Tournesol",AlimentsBisons,3,FALSE)+VLOOKUP("Tournesol",AlimentsDaims,3,FALSE)+VLOOKUP("Tournesol",AlimentsChevauxSelle,3,FALSE)+VLOOKUP("Tournesol",AlimentsChevauxTrait,3,FALSE)+VLOOKUP("Tournesol",AlimentsPoneys,3,FALSE))/1000</f>
        <v>#REF!</v>
      </c>
      <c r="E31" s="267" t="e">
        <f>(VLOOKUP("Tournesol",AlimentsBovins,4,FALSE)+VLOOKUP("Tournesol",AlimentsPorcins,4,FALSE)+VLOOKUP("Tournesol",AlimentsCaprins,4,FALSE)+VLOOKUP("Tournesol",AlimentsOvins,4,FALSE)+VLOOKUP("Tournesol",AlimentsLapins,4,FALSE)+VLOOKUP("Tournesol",AlimentsVolailles,4,FALSE)+VLOOKUP("Tournesol",AlimentsPintades,4,FALSE)+VLOOKUP("Tournesol",AlimentsOies,4,FALSE)+VLOOKUP("Tournesol",AlimentsCanards,4,FALSE)+VLOOKUP("Tournesol",AlimentsGavageOiesEtCanards,4,FALSE)+VLOOKUP("Tournesol",AlimentsBisons,4,FALSE)+VLOOKUP("Tournesol",AlimentsDaims,4,FALSE)+VLOOKUP("Tournesol",AlimentsChevauxSelle,4,FALSE)+VLOOKUP("Tournesol",AlimentsChevauxTrait,4,FALSE)+VLOOKUP("Tournesol",AlimentsPoneys,4,FALSE))/1000</f>
        <v>#REF!</v>
      </c>
      <c r="F31" s="246" t="e">
        <f>IF(TournesolNécessaireBQ=0,,IF(TournesolNécessaireBQ-VLOOKUP(Tournesol,StockDansSilos,3,FALSE)&lt;=0,0,ROUNDUP(TournesolNécessaireBQ-VLOOKUP(Tournesol,StockDansSilos,3,FALSE),0)))</f>
        <v>#REF!</v>
      </c>
      <c r="G31" s="239" t="e">
        <f>IF(TournesolNécessaireMoQ=0,,IF(TournesolNécessaireMoQ-VLOOKUP(Tournesol,StockDansSilos,3,FALSE)&lt;=0,0,ROUNDUP(TournesolNécessaireMoQ-VLOOKUP(Tournesol,StockDansSilos,3,FALSE),0)))</f>
        <v>#REF!</v>
      </c>
      <c r="H31" s="247" t="e">
        <f>IF(TournesolNécessaireMaQ=0,,IF(TournesolNécessaireMaQ-VLOOKUP(Tournesol,StockDansSilos,3,FALSE)&lt;=0,0,ROUNDUP(TournesolNécessaireMaQ-VLOOKUP(Tournesol,StockDansSilos,3,FALSE),0)))</f>
        <v>#REF!</v>
      </c>
      <c r="I31" s="181"/>
      <c r="J31" s="198"/>
      <c r="K31" s="189" t="e">
        <f>IF(AND(CommandeTournesolBQ=0,CommandeTournesolMoQ=0,CommandeTournesolMaQ=0),"",((PrixTournesol*CommandeTournesolBQ)+(PrixTournesol*CommandeTournesolMoQ*0.9)+(PrixTournesol*CommandeTournesolMaQ*0.8)))</f>
        <v>#REF!</v>
      </c>
      <c r="L31" s="181"/>
      <c r="M31" s="171"/>
      <c r="N31" s="178"/>
      <c r="O31" s="171"/>
      <c r="P31" s="171"/>
      <c r="Q31" s="171"/>
      <c r="R31" s="171"/>
      <c r="S31" s="171"/>
      <c r="T31" s="176"/>
    </row>
    <row r="32" spans="1:26" s="15" customFormat="1" x14ac:dyDescent="0.2">
      <c r="A32" s="174"/>
      <c r="B32" s="162" t="e">
        <f>IF(AND(TourteauColzaNécessaireBQ=0,TourteauColzaNécessaireMoQ=0,TourteauColzaNécessaireMaQ=0),"","tourteau de colza (t)")</f>
        <v>#REF!</v>
      </c>
      <c r="C32" s="255" t="e">
        <f>(VLOOKUP("Tourteau de colza",AlimentsBovins,2,FALSE)+VLOOKUP("Tourteau de colza",AlimentsPorcins,2,FALSE)+VLOOKUP("Tourteau de colza",AlimentsCaprins,2,FALSE)+VLOOKUP("Tourteau de colza",AlimentsOvins,2,FALSE)+VLOOKUP("Tourteau de colza",AlimentsLapins,2,FALSE)+VLOOKUP("Tourteau de colza",AlimentsVolailles,2,FALSE)+VLOOKUP("Tourteau de colza",AlimentsPintades,2,FALSE)+VLOOKUP("Tourteau de colza",AlimentsOies,2,FALSE)+VLOOKUP("Tourteau de colza",AlimentsCanards,2,FALSE)+VLOOKUP("Tourteau de colza",AlimentsGavageOiesEtCanards,2,FALSE)+VLOOKUP("Tourteau de colza",AlimentsBisons,2,FALSE)+VLOOKUP("Tourteau de colza",AlimentsDaims,2,FALSE)+VLOOKUP("Tourteau de colza",AlimentsChevauxSelle,2,FALSE)+VLOOKUP("Tourteau de colza",AlimentsChevauxTrait,2,FALSE)+VLOOKUP("Tourteau de colza",AlimentsPoneys,2,FALSE))/1000</f>
        <v>#REF!</v>
      </c>
      <c r="D32" s="260" t="e">
        <f>(VLOOKUP("Tourteau de colza",AlimentsBovins,3,FALSE)+VLOOKUP("Tourteau de colza",AlimentsPorcins,3,FALSE)+VLOOKUP("Tourteau de colza",AlimentsCaprins,3,FALSE)+VLOOKUP("Tourteau de colza",AlimentsOvins,3,FALSE)+VLOOKUP("Tourteau de colza",AlimentsLapins,3,FALSE)+VLOOKUP("Tourteau de colza",AlimentsVolailles,3,FALSE)+VLOOKUP("Tourteau de colza",AlimentsPintades,3,FALSE)+VLOOKUP("Tourteau de colza",AlimentsOies,3,FALSE)+VLOOKUP("Tourteau de colza",AlimentsCanards,3,FALSE)+VLOOKUP("Tourteau de colza",AlimentsGavageOiesEtCanards,3,FALSE)+VLOOKUP("Tourteau de colza",AlimentsBisons,3,FALSE)+VLOOKUP("Tourteau de colza",AlimentsDaims,3,FALSE)+VLOOKUP("Tourteau de colza",AlimentsChevauxSelle,3,FALSE)+VLOOKUP("Tourteau de colza",AlimentsChevauxTrait,3,FALSE)+VLOOKUP("Tourteau de colza",AlimentsPoneys,3,FALSE))/1000</f>
        <v>#REF!</v>
      </c>
      <c r="E32" s="261" t="e">
        <f>(VLOOKUP("Tourteau de colza",AlimentsBovins,4,FALSE)+VLOOKUP("Tourteau de colza",AlimentsPorcins,4,FALSE)+VLOOKUP("Tourteau de colza",AlimentsCaprins,4,FALSE)+VLOOKUP("Tourteau de colza",AlimentsOvins,4,FALSE)+VLOOKUP("Tourteau de colza",AlimentsLapins,4,FALSE)+VLOOKUP("Tourteau de colza",AlimentsVolailles,4,FALSE)+VLOOKUP("Tourteau de colza",AlimentsPintades,4,FALSE)+VLOOKUP("Tourteau de colza",AlimentsOies,4,FALSE)+VLOOKUP("Tourteau de colza",AlimentsCanards,4,FALSE)+VLOOKUP("Tourteau de colza",AlimentsGavageOiesEtCanards,4,FALSE)+VLOOKUP("Tourteau de colza",AlimentsBisons,4,FALSE)+VLOOKUP("Tourteau de colza",AlimentsDaims,4,FALSE)+VLOOKUP("Tourteau de colza",AlimentsChevauxSelle,4,FALSE)+VLOOKUP("Tourteau de colza",AlimentsChevauxTrait,4,FALSE)+VLOOKUP("Tourteau de colza",AlimentsPoneys,4,FALSE))/1000</f>
        <v>#REF!</v>
      </c>
      <c r="F32" s="244" t="e">
        <f>IF(TourteauColzaNécessaireBQ=0,,IF(TourteauColzaNécessaireBQ-VLOOKUP(TourteauColza,StockDansSilos,3,FALSE)&lt;=0,0,ROUNDUP(TourteauColzaNécessaireBQ-VLOOKUP(TourteauColza,StockDansSilos,3,FALSE),0)))</f>
        <v>#REF!</v>
      </c>
      <c r="G32" s="240" t="e">
        <f>IF(TourteauColzaNécessaireMoQ=0,,IF(TourteauColzaNécessaireMoQ-VLOOKUP(TourteauColza,StockDansSilos,3,FALSE)&lt;=0,0,ROUNDUP(TourteauColzaNécessaireMoQ-VLOOKUP(TourteauColza,StockDansSilos,3,FALSE),0)))</f>
        <v>#REF!</v>
      </c>
      <c r="H32" s="245" t="e">
        <f>IF(TourteauColzaNécessaireMaQ=0,,IF(TourteauColzaNécessaireMaQ-VLOOKUP(TourteauColza,StockDansSilos,3,FALSE)&lt;=0,0,ROUNDUP(TourteauColzaNécessaireMaQ-VLOOKUP(TourteauColza,StockDansSilos,3,FALSE),0)))</f>
        <v>#REF!</v>
      </c>
      <c r="I32" s="181"/>
      <c r="J32" s="199"/>
      <c r="K32" s="165" t="e">
        <f>IF(AND(CommandeTourteauColzaBQ=0,CommandeTourteauColzaMoQ=0,CommandeTourteauColzaMaQ=0),"",((PrixTourteauColza*CommandeTourteauColzaBQ)+(PrixTourteauColza*CommandeTourteauColzaMoQ*0.9)+(PrixTourteauColza*CommandeTourteauColzaMaQ*0.8)))</f>
        <v>#REF!</v>
      </c>
      <c r="L32" s="181"/>
      <c r="M32" s="171"/>
      <c r="N32" s="178"/>
      <c r="O32" s="171"/>
      <c r="P32" s="171"/>
      <c r="Q32" s="171"/>
      <c r="R32" s="171"/>
      <c r="S32" s="171"/>
      <c r="T32" s="176"/>
    </row>
    <row r="33" spans="1:20" s="15" customFormat="1" x14ac:dyDescent="0.2">
      <c r="A33" s="174"/>
      <c r="B33" s="192" t="e">
        <f>IF(AND(TourteauTournesolNécessaireBQ=0,TourteauTournesolNécessaireMoQ=0,TourteauTournesolNécessaireMaQ=0),"","tourteau de tournesol (t)")</f>
        <v>#REF!</v>
      </c>
      <c r="C33" s="256" t="e">
        <f>(VLOOKUP("Tourteau de Tournesol",AlimentsBovins,2,FALSE)+VLOOKUP("Tourteau de Tournesol",AlimentsPorcins,2,FALSE)+VLOOKUP("Tourteau de Tournesol",AlimentsCaprins,2,FALSE)+VLOOKUP("Tourteau de Tournesol",AlimentsOvins,2,FALSE)+VLOOKUP("Tourteau de Tournesol",AlimentsLapins,2,FALSE)+VLOOKUP("Tourteau de Tournesol",AlimentsVolailles,2,FALSE)+VLOOKUP("Tourteau de Tournesol",AlimentsPintades,2,FALSE)+VLOOKUP("Tourteau de Tournesol",AlimentsOies,2,FALSE)+VLOOKUP("Tourteau de Tournesol",AlimentsCanards,2,FALSE)+VLOOKUP("Tourteau de Tournesol",AlimentsGavageOiesEtCanards,2,FALSE)+VLOOKUP("Tourteau de Tournesol",AlimentsBisons,2,FALSE)+VLOOKUP("Tourteau de Tournesol",AlimentsDaims,2,FALSE)+VLOOKUP("Tourteau de Tournesol",AlimentsChevauxSelle,2,FALSE)+VLOOKUP("Tourteau de Tournesol",AlimentsChevauxTrait,2,FALSE)+VLOOKUP("Tourteau de Tournesol",AlimentsPoneys,2,FALSE))/1000</f>
        <v>#REF!</v>
      </c>
      <c r="D33" s="262" t="e">
        <f>(VLOOKUP("Tourteau de Tournesol",AlimentsBovins,3,FALSE)+VLOOKUP("Tourteau de Tournesol",AlimentsPorcins,3,FALSE)+VLOOKUP("Tourteau de Tournesol",AlimentsCaprins,3,FALSE)+VLOOKUP("Tourteau de Tournesol",AlimentsOvins,3,FALSE)+VLOOKUP("Tourteau de Tournesol",AlimentsLapins,3,FALSE)+VLOOKUP("Tourteau de Tournesol",AlimentsVolailles,3,FALSE)+VLOOKUP("Tourteau de Tournesol",AlimentsPintades,3,FALSE)+VLOOKUP("Tourteau de Tournesol",AlimentsOies,3,FALSE)+VLOOKUP("Tourteau de Tournesol",AlimentsCanards,3,FALSE)+VLOOKUP("Tourteau de Tournesol",AlimentsGavageOiesEtCanards,3,FALSE)+VLOOKUP("Tourteau de Tournesol",AlimentsBisons,3,FALSE)+VLOOKUP("Tourteau de Tournesol",AlimentsDaims,3,FALSE)+VLOOKUP("Tourteau de Tournesol",AlimentsChevauxSelle,3,FALSE)+VLOOKUP("Tourteau de Tournesol",AlimentsChevauxTrait,3,FALSE)+VLOOKUP("Tourteau de Tournesol",AlimentsPoneys,3,FALSE))/1000</f>
        <v>#REF!</v>
      </c>
      <c r="E33" s="263" t="e">
        <f>(VLOOKUP("Tourteau de Tournesol",AlimentsBovins,4,FALSE)+VLOOKUP("Tourteau de Tournesol",AlimentsPorcins,4,FALSE)+VLOOKUP("Tourteau de Tournesol",AlimentsCaprins,4,FALSE)+VLOOKUP("Tourteau de Tournesol",AlimentsOvins,4,FALSE)+VLOOKUP("Tourteau de Tournesol",AlimentsLapins,4,FALSE)+VLOOKUP("Tourteau de Tournesol",AlimentsVolailles,4,FALSE)+VLOOKUP("Tourteau de Tournesol",AlimentsPintades,4,FALSE)+VLOOKUP("Tourteau de Tournesol",AlimentsOies,4,FALSE)+VLOOKUP("Tourteau de Tournesol",AlimentsCanards,4,FALSE)+VLOOKUP("Tourteau de Tournesol",AlimentsGavageOiesEtCanards,4,FALSE)+VLOOKUP("Tourteau de Tournesol",AlimentsBisons,4,FALSE)+VLOOKUP("Tourteau de Tournesol",AlimentsDaims,4,FALSE)+VLOOKUP("Tourteau de Tournesol",AlimentsChevauxSelle,4,FALSE)+VLOOKUP("Tourteau de Tournesol",AlimentsChevauxTrait,4,FALSE)+VLOOKUP("Tourteau de Tournesol",AlimentsPoneys,4,FALSE))/1000</f>
        <v>#REF!</v>
      </c>
      <c r="F33" s="246" t="e">
        <f>IF(TourteauTournesolNécessaireBQ=0,,IF(TourteauTournesolNécessaireBQ-VLOOKUP(TourteauTournesol,StockDansSilos,3,FALSE)&lt;=0,0,ROUNDUP(TourteauTournesolNécessaireBQ-VLOOKUP(TourteauTournesol,StockDansSilos,3,FALSE),0)))</f>
        <v>#REF!</v>
      </c>
      <c r="G33" s="239" t="e">
        <f>IF(TourteauTournesolNécessaireMoQ=0,,IF(TourteauTournesolNécessaireMoQ-VLOOKUP(TourteauTournesol,StockDansSilos,3,FALSE)&lt;=0,0,ROUNDUP(TourteauTournesolNécessaireMoQ-VLOOKUP(TourteauTournesol,StockDansSilos,3,FALSE),0)))</f>
        <v>#REF!</v>
      </c>
      <c r="H33" s="247" t="e">
        <f>IF(TourteauTournesolNécessaireMaQ=0,,IF(TourteauTournesolNécessaireMaQ-VLOOKUP(TourteauTournesol,StockDansSilos,3,FALSE)&lt;=0,0,ROUNDUP(TourteauTournesolNécessaireMaQ-VLOOKUP(TourteauTournesol,StockDansSilos,3,FALSE),0)))</f>
        <v>#REF!</v>
      </c>
      <c r="I33" s="181"/>
      <c r="J33" s="198"/>
      <c r="K33" s="189" t="e">
        <f>IF(AND(CommandeTourteauTournesolBQ=0,CommandeTourteauTournesolMoQ=0,CommandeTourteauTournesolMaQ=0),"",((PrixTourteauTournesol*CommandeTourteauTournesolBQ)+(PrixTourteauTournesol*CommandeTourteauTournesolMoQ*0.9)+(PrixTourteauTournesol*CommandeTourteauTournesolMaQ*0.8)))</f>
        <v>#REF!</v>
      </c>
      <c r="L33" s="181"/>
      <c r="M33" s="171"/>
      <c r="N33" s="178"/>
      <c r="O33" s="171"/>
      <c r="P33" s="171"/>
      <c r="Q33" s="171"/>
      <c r="R33" s="171"/>
      <c r="S33" s="171"/>
      <c r="T33" s="176"/>
    </row>
    <row r="34" spans="1:20" s="15" customFormat="1" x14ac:dyDescent="0.2">
      <c r="A34" s="174"/>
      <c r="B34" s="162" t="e">
        <f>IF(AND(TriticaleNécessaireBQ=0,TriticaleNécessaireMoQ=0,TriticaleNécessaireMaQ=0),"","triticale (t)")</f>
        <v>#REF!</v>
      </c>
      <c r="C34" s="255" t="e">
        <f>(VLOOKUP("Triticale",AlimentsBovins,2,FALSE)+VLOOKUP("Triticale",AlimentsPorcins,2,FALSE)+VLOOKUP("Triticale",AlimentsCaprins,2,FALSE)+VLOOKUP("Triticale",AlimentsOvins,2,FALSE)+VLOOKUP("Triticale",AlimentsLapins,2,FALSE)+VLOOKUP("Triticale",AlimentsVolailles,2,FALSE)+VLOOKUP("Triticale",AlimentsPintades,2,FALSE)+VLOOKUP("Triticale",AlimentsOies,2,FALSE)+VLOOKUP("Triticale",AlimentsCanards,2,FALSE)+VLOOKUP("Triticale",AlimentsGavageOiesEtCanards,2,FALSE)+VLOOKUP("Triticale",AlimentsBisons,2,FALSE)+VLOOKUP("Triticale",AlimentsDaims,2,FALSE)+VLOOKUP("Triticale",AlimentsChevauxSelle,2,FALSE)+VLOOKUP("Triticale",AlimentsChevauxTrait,2,FALSE)+VLOOKUP("Triticale",AlimentsPoneys,2,FALSE))/1000</f>
        <v>#REF!</v>
      </c>
      <c r="D34" s="260" t="e">
        <f>(VLOOKUP("Triticale",AlimentsBovins,3,FALSE)+VLOOKUP("Triticale",AlimentsPorcins,3,FALSE)+VLOOKUP("Triticale",AlimentsCaprins,3,FALSE)+VLOOKUP("Triticale",AlimentsOvins,3,FALSE)+VLOOKUP("Triticale",AlimentsLapins,3,FALSE)+VLOOKUP("Triticale",AlimentsVolailles,3,FALSE)+VLOOKUP("Triticale",AlimentsPintades,3,FALSE)+VLOOKUP("Triticale",AlimentsOies,3,FALSE)+VLOOKUP("Triticale",AlimentsCanards,3,FALSE)+VLOOKUP("Triticale",AlimentsGavageOiesEtCanards,3,FALSE)+VLOOKUP("Triticale",AlimentsBisons,3,FALSE)+VLOOKUP("Triticale",AlimentsDaims,3,FALSE)+VLOOKUP("Triticale",AlimentsChevauxSelle,3,FALSE)+VLOOKUP("Triticale",AlimentsChevauxTrait,3,FALSE)+VLOOKUP("Triticale",AlimentsPoneys,3,FALSE))/1000</f>
        <v>#REF!</v>
      </c>
      <c r="E34" s="261" t="e">
        <f>(VLOOKUP("Triticale",AlimentsBovins,4,FALSE)+VLOOKUP("Triticale",AlimentsPorcins,4,FALSE)+VLOOKUP("Triticale",AlimentsCaprins,4,FALSE)+VLOOKUP("Triticale",AlimentsOvins,4,FALSE)+VLOOKUP("Triticale",AlimentsLapins,4,FALSE)+VLOOKUP("Triticale",AlimentsVolailles,4,FALSE)+VLOOKUP("Triticale",AlimentsPintades,4,FALSE)+VLOOKUP("Triticale",AlimentsOies,4,FALSE)+VLOOKUP("Triticale",AlimentsCanards,4,FALSE)+VLOOKUP("Triticale",AlimentsGavageOiesEtCanards,4,FALSE)+VLOOKUP("Triticale",AlimentsBisons,4,FALSE)+VLOOKUP("Triticale",AlimentsDaims,4,FALSE)+VLOOKUP("Triticale",AlimentsChevauxSelle,4,FALSE)+VLOOKUP("Triticale",AlimentsChevauxTrait,4,FALSE)+VLOOKUP("Triticale",AlimentsPoneys,4,FALSE))/1000</f>
        <v>#REF!</v>
      </c>
      <c r="F34" s="244" t="e">
        <f>IF(TriticaleNécessaireBQ=0,,IF(TriticaleNécessaireBQ-VLOOKUP(Triticale,StockDansSilos,3,FALSE)&lt;=0,0,ROUNDUP(TriticaleNécessaireBQ-VLOOKUP(Triticale,StockDansSilos,3,FALSE),0)))</f>
        <v>#REF!</v>
      </c>
      <c r="G34" s="240" t="e">
        <f>IF(TriticaleNécessaireMoQ=0,,IF(TriticaleNécessaireMoQ-VLOOKUP(Triticale,StockDansSilos,3,FALSE)&lt;=0,0,ROUNDUP(TriticaleNécessaireMoQ-VLOOKUP(Triticale,StockDansSilos,3,FALSE),0)))</f>
        <v>#REF!</v>
      </c>
      <c r="H34" s="245" t="e">
        <f>IF(TriticaleNécessaireMaQ=0,,IF(TriticaleNécessaireMaQ-VLOOKUP(Triticale,StockDansSilos,3,FALSE)&lt;=0,0,ROUNDUP(TriticaleNécessaireMaQ-VLOOKUP(Triticale,StockDansSilos,3,FALSE),0)))</f>
        <v>#REF!</v>
      </c>
      <c r="I34" s="181"/>
      <c r="J34" s="199">
        <v>187.5</v>
      </c>
      <c r="K34" s="165" t="e">
        <f>IF(AND(CommandeTriticaleBQ=0,CommandeTriticaleMoQ=0,CommandeTriticaleMaQ=0),"",((PrixTriticale*CommandeTriticaleBQ)+(PrixTriticale*CommandeTriticaleMoQ*0.9)+(PrixTriticale*CommandeTriticaleMaQ*0.8)))</f>
        <v>#REF!</v>
      </c>
      <c r="L34" s="181"/>
      <c r="M34" s="171"/>
      <c r="N34" s="178"/>
      <c r="O34" s="171"/>
      <c r="P34" s="171"/>
      <c r="Q34" s="171"/>
      <c r="R34" s="171"/>
      <c r="S34" s="171"/>
      <c r="T34" s="176"/>
    </row>
    <row r="35" spans="1:20" s="15" customFormat="1" x14ac:dyDescent="0.2">
      <c r="A35" s="174"/>
      <c r="B35" s="192" t="str">
        <f>IF(AND(RationBovinsNécessaireBQ=0,RationBovinsNécessaireMoQ=0,RationBovinsNécessaireMaQ=0),"","ration complète bovins (t)")</f>
        <v/>
      </c>
      <c r="C35" s="256">
        <f>VLOOKUP("Ration Complète",AlimentsBovins,2,FALSE)</f>
        <v>0</v>
      </c>
      <c r="D35" s="262">
        <f>VLOOKUP("Ration Complète",AlimentsBovins,3,FALSE)</f>
        <v>0</v>
      </c>
      <c r="E35" s="263">
        <f>VLOOKUP("Ration Complète",AlimentsBovins,4,FALSE)</f>
        <v>0</v>
      </c>
      <c r="F35" s="246">
        <f>IF(RationBovinsNécessaireBQ=0,,IF(RationBovinsNécessaireBQ-VLOOKUP(RationBovins,StockDansSilos,3,FALSE)&lt;=0,0,ROUNDUP(RationBovinsNécessaireBQ-VLOOKUP(RationBovins,StockDansSilos,3,FALSE),0)))</f>
        <v>0</v>
      </c>
      <c r="G35" s="239">
        <f>IF(RationBovinsNécessaireMoQ=0,,IF(RationBovinsNécessaireMoQ-VLOOKUP(RationBovins,StockDansSilos,3,FALSE)&lt;=0,0,ROUNDUP(RationBovinsNécessaireMoQ-VLOOKUP(RationBovins,StockDansSilos,3,FALSE),0)))</f>
        <v>0</v>
      </c>
      <c r="H35" s="247">
        <f>IF(RationBovinsNécessaireMaQ=0,,IF(RationBovinsNécessaireMaQ-VLOOKUP(RationBovins,StockDansSilos,3,FALSE)&lt;=0,0,ROUNDUP(RationBovinsNécessaireMaQ-VLOOKUP(RationBovins,StockDansSilos,3,FALSE),0)))</f>
        <v>0</v>
      </c>
      <c r="I35" s="181"/>
      <c r="J35" s="198"/>
      <c r="K35" s="189" t="str">
        <f>IF(AND(CommandeRationBovinBQ=0,CommandeRationBovinMoQ=0,CommandeRationBovinMaQ=0),"",((PrixRationBovins*CommandeRationBovinBQ)+(PrixRationBovins*CommandeRationBovinMoQ*0.9)+(PrixRationBovins*CommandeRationBovinMaQ*0.8)))</f>
        <v/>
      </c>
      <c r="L35" s="181"/>
      <c r="M35" s="171"/>
      <c r="N35" s="178"/>
      <c r="O35" s="171"/>
      <c r="P35" s="171"/>
      <c r="Q35" s="171"/>
      <c r="R35" s="171"/>
      <c r="S35" s="171"/>
      <c r="T35" s="176"/>
    </row>
    <row r="36" spans="1:20" s="15" customFormat="1" x14ac:dyDescent="0.2">
      <c r="A36" s="174"/>
      <c r="B36" s="162" t="str">
        <f>IF(AND(RationHiverBovinsNécessaireBQ=0,RationHiverBovinsNécessaireMoQ=0,RationHiverBovinsNécessaireMaQ=0),"","ration complète hivernale bovins (t)")</f>
        <v/>
      </c>
      <c r="C36" s="255">
        <f>VLOOKUP("Ration complète",Ration_hivernale_complète_bovins[],2,FALSE)</f>
        <v>0</v>
      </c>
      <c r="D36" s="260">
        <f>VLOOKUP("Ration complète",Ration_hivernale_complète_bovins[],3,FALSE)</f>
        <v>0</v>
      </c>
      <c r="E36" s="261">
        <f>VLOOKUP("Ration complète",Ration_hivernale_complète_bovins[],4,FALSE)</f>
        <v>0</v>
      </c>
      <c r="F36" s="244">
        <f>IF(RationHiverBovinsNécessaireBQ=0,,IF(RationHiverBovinsNécessaireBQ-VLOOKUP(RationHiverBovins,StockDansSilos,3,FALSE)&lt;=0,0,ROUNDUP(RationHiverBovinsNécessaireBQ-VLOOKUP(RationHiverBovins,StockDansSilos,3,FALSE),0)))</f>
        <v>0</v>
      </c>
      <c r="G36" s="240">
        <f>IF(RationHiverBovinsNécessaireMoQ=0,,IF(RationHiverBovinsNécessaireMoQ-VLOOKUP(RationHiverBovins,StockDansSilos,3,FALSE)&lt;=0,0,ROUNDUP(RationHiverBovinsNécessaireMoQ-VLOOKUP(RationHiverBovins,StockDansSilos,3,FALSE),0)))</f>
        <v>0</v>
      </c>
      <c r="H36" s="245">
        <f>IF(RationHiverBovinsNécessaireMaQ=0,,IF(RationHiverBovinsNécessaireMaQ-VLOOKUP(RationHiverBovins,StockDansSilos,3,FALSE)&lt;=0,0,ROUNDUP(RationHiverBovinsNécessaireMaQ-VLOOKUP(RationHiverBovins,StockDansSilos,3,FALSE),0)))</f>
        <v>0</v>
      </c>
      <c r="I36" s="181"/>
      <c r="J36" s="199"/>
      <c r="K36" s="165" t="str">
        <f>IF(AND(CommandeRationHiverBovinBQ=0,CommandeRationHiverBovinMoQ=0,CommandeRationHiverBovinMaQ=0),"",((PrixRationHiverBovins*CommandeRationHiverBovinBQ)+(PrixRationHiverBovins*CommandeRationHiverBovinMoQ*0.9)+(PrixRationHiverBovins*CommandeRationHiverBovinMaQ*0.8)))</f>
        <v/>
      </c>
      <c r="L36" s="181"/>
      <c r="M36" s="205" t="s">
        <v>321</v>
      </c>
      <c r="N36" s="171"/>
      <c r="O36" s="171"/>
      <c r="P36" s="171"/>
      <c r="Q36" s="178"/>
      <c r="R36" s="178"/>
      <c r="S36" s="178"/>
      <c r="T36" s="176"/>
    </row>
    <row r="37" spans="1:20" s="15" customFormat="1" x14ac:dyDescent="0.2">
      <c r="A37" s="174"/>
      <c r="B37" s="192" t="str">
        <f>IF(AND(RationBisonNécessaireBQ=0,RationBisonNécessaireMoQ=0,RationBisonNécessaireMaQ=0),"","ration complète hivernale bisons (t)")</f>
        <v/>
      </c>
      <c r="C37" s="256">
        <f t="shared" ref="C37:C50" si="0">VLOOKUP("Avoine",AlimentsBovins,2,FALSE)</f>
        <v>0</v>
      </c>
      <c r="D37" s="262">
        <f t="shared" ref="D37:D50" si="1">VLOOKUP("Avoine",AlimentsBovins,3,FALSE)</f>
        <v>0</v>
      </c>
      <c r="E37" s="263">
        <f t="shared" ref="E37:E50" si="2">VLOOKUP("Avoine",AlimentsBovins,4,FALSE)</f>
        <v>0</v>
      </c>
      <c r="F37" s="246">
        <f>IF(RationBisonNécessaireBQ=0,,IF(RationBisonNécessaireBQ-VLOOKUP(RationBisons,StockDansSilos,3,FALSE)&lt;=0,0,ROUNDUP(RationBisonNécessaireBQ-VLOOKUP(RationBisons,StockDansSilos,3,FALSE),0)))</f>
        <v>0</v>
      </c>
      <c r="G37" s="239">
        <f>IF(RationBisonNécessaireMoQ=0,,IF(RationBisonNécessaireMoQ-VLOOKUP(RationBisons,StockDansSilos,3,FALSE)&lt;=0,0,ROUNDUP(RationBisonNécessaireMoQ-VLOOKUP(RationBisons,StockDansSilos,3,FALSE),0)))</f>
        <v>0</v>
      </c>
      <c r="H37" s="247">
        <f>IF(RationBisonNécessaireMaQ=0,,IF(RationBisonNécessaireMaQ-VLOOKUP(RationBisons,StockDansSilos,3,FALSE)&lt;=0,0,ROUNDUP(RationBisonNécessaireMaQ-VLOOKUP(RationBisons,StockDansSilos,3,FALSE),0)))</f>
        <v>0</v>
      </c>
      <c r="I37" s="181"/>
      <c r="J37" s="198"/>
      <c r="K37" s="189" t="str">
        <f>IF(AND(CommandeRationBisonsBQ=0,CommandeRationBisonsMoQ=0,CommandeRationBisonsMaQ=0),"",((PrixRationBisons*CommandeRationBisonsBQ)+(PrixRationBisons*CommandeRationBisonsMoQ*0.9)+(PrixRationBisons*CommandeRationBisonsMaQ*0.8)))</f>
        <v/>
      </c>
      <c r="L37" s="181"/>
      <c r="M37" s="207" t="s">
        <v>273</v>
      </c>
      <c r="N37" s="96" t="str">
        <f>IF(CoutPaillageAnnuelBovins="","coût : 0€/an",CoutPaillageAnnuelBovins)</f>
        <v>coût : 0€/an</v>
      </c>
      <c r="O37" s="96"/>
      <c r="P37" s="96"/>
      <c r="Q37" s="208"/>
      <c r="R37" s="178"/>
      <c r="S37" s="178"/>
      <c r="T37" s="176"/>
    </row>
    <row r="38" spans="1:20" s="15" customFormat="1" x14ac:dyDescent="0.2">
      <c r="A38" s="174"/>
      <c r="B38" s="162" t="str">
        <f>IF(AND(RationCaprinsNécessaireBQ=0,RationCaprinsNécessaireMoQ=0,RationCaprinsNécessaireMaQ=0),"","ration complète caprins (t)")</f>
        <v/>
      </c>
      <c r="C38" s="255">
        <f t="shared" si="0"/>
        <v>0</v>
      </c>
      <c r="D38" s="260">
        <f t="shared" si="1"/>
        <v>0</v>
      </c>
      <c r="E38" s="261">
        <f t="shared" si="2"/>
        <v>0</v>
      </c>
      <c r="F38" s="244">
        <f>IF(RationCaprinsNécessaireBQ=0,,IF(RationCaprinsNécessaireBQ-VLOOKUP(RationCaprins,StockDansSilos,3,FALSE)&lt;=0,0,ROUNDUP(RationCaprinsNécessaireBQ-VLOOKUP(RationCaprins,StockDansSilos,3,FALSE),0)))</f>
        <v>0</v>
      </c>
      <c r="G38" s="240">
        <f>IF(RationCaprinsNécessaireMoQ=0,,IF(RationCaprinsNécessaireMoQ-VLOOKUP(RationCaprins,StockDansSilos,3,FALSE)&lt;=0,0,ROUNDUP(RationCaprinsNécessaireMoQ-VLOOKUP(RationCaprins,StockDansSilos,3,FALSE),0)))</f>
        <v>0</v>
      </c>
      <c r="H38" s="245">
        <f>IF(RationCaprinsNécessaireMaQ=0,,IF(RationCaprinsNécessaireMaQ-VLOOKUP(RationCaprins,StockDansSilos,3,FALSE)&lt;=0,0,ROUNDUP(RationCaprinsNécessaireMaQ-VLOOKUP(RationCaprins,StockDansSilos,3,FALSE),0)))</f>
        <v>0</v>
      </c>
      <c r="I38" s="181"/>
      <c r="J38" s="199"/>
      <c r="K38" s="165" t="str">
        <f>IF(AND(CommandeRationCaprinsBQ=0,CommandeRationCaprinsMoQ=0,CommandeRationCaprinsMaQ=0),"",((PrixRationCaprins*CommandeRationCaprinsBQ)+(PrixRationCaprins*CommandeRationCaprinsMoQ*0.9)+(PrixRationCaprins*CommandeRationCaprinsMaQ*0.8)))</f>
        <v/>
      </c>
      <c r="L38" s="181"/>
      <c r="M38" s="207" t="s">
        <v>274</v>
      </c>
      <c r="N38" s="209" t="s">
        <v>143</v>
      </c>
      <c r="O38" s="210"/>
      <c r="P38" s="210"/>
      <c r="Q38" s="210"/>
      <c r="R38" s="171"/>
      <c r="S38" s="171"/>
      <c r="T38" s="176"/>
    </row>
    <row r="39" spans="1:20" s="15" customFormat="1" x14ac:dyDescent="0.2">
      <c r="A39" s="174"/>
      <c r="B39" s="192" t="str">
        <f>IF(AND(RationPorcinsNécessaireBQ=0,RationPorcinsNécessaireMoQ=0,RationPorcinsNécessaireMaQ=0),"","ration complète porcins (t)")</f>
        <v/>
      </c>
      <c r="C39" s="256">
        <f t="shared" si="0"/>
        <v>0</v>
      </c>
      <c r="D39" s="262">
        <f t="shared" si="1"/>
        <v>0</v>
      </c>
      <c r="E39" s="263">
        <f t="shared" si="2"/>
        <v>0</v>
      </c>
      <c r="F39" s="246">
        <f>IF(RationPorcinsNécessaireBQ=0,,IF(RationPorcinsNécessaireBQ-VLOOKUP(RationPorcins,StockDansSilos,3,FALSE)&lt;=0,0,ROUNDUP(RationPorcinsNécessaireBQ-VLOOKUP(RationPorcins,StockDansSilos,3,FALSE),0)))</f>
        <v>0</v>
      </c>
      <c r="G39" s="239">
        <f>IF(RationPorcinsNécessaireMoQ=0,,IF(RationPorcinsNécessaireMoQ-VLOOKUP(RationPorcins,StockDansSilos,3,FALSE)&lt;=0,0,ROUNDUP(RationPorcinsNécessaireMoQ-VLOOKUP(RationPorcins,StockDansSilos,3,FALSE),0)))</f>
        <v>0</v>
      </c>
      <c r="H39" s="247">
        <f>IF(RationPorcinsNécessaireMaQ=0,,IF(RationPorcinsNécessaireMaQ-VLOOKUP(RationPorcins,StockDansSilos,3,FALSE)&lt;=0,0,ROUNDUP(RationPorcinsNécessaireMaQ-VLOOKUP(RationPorcins,StockDansSilos,3,FALSE),0)))</f>
        <v>0</v>
      </c>
      <c r="I39" s="181"/>
      <c r="J39" s="198"/>
      <c r="K39" s="189" t="str">
        <f>IF(AND(CommandeRationPorcinsBQ=0,CommandeRationPorcinsMoQ=0,CommandeRationPorcinsMaQ=0),"",((PrixRationPorcins*CommandeRationPorcinsBQ)+(PrixRationPorcins*CommandeRationPorcinsMoQ*0.9)+(PrixRationPorcins*CommandeRationPorcinsMaQ*0.8)))</f>
        <v/>
      </c>
      <c r="L39" s="181"/>
      <c r="M39" s="207" t="s">
        <v>275</v>
      </c>
      <c r="N39" s="96" t="str">
        <f>IF(CoutPaillageAnnuelPorcins="","coût : 0€/an",CoutPaillageAnnuelPorcins)</f>
        <v>coût : 0€/an</v>
      </c>
      <c r="O39" s="96"/>
      <c r="P39" s="96"/>
      <c r="Q39" s="208"/>
      <c r="R39" s="178"/>
      <c r="S39" s="178"/>
      <c r="T39" s="176"/>
    </row>
    <row r="40" spans="1:20" s="15" customFormat="1" x14ac:dyDescent="0.2">
      <c r="A40" s="174"/>
      <c r="B40" s="162" t="str">
        <f>IF(AND(RationVolaillesNécessaireBQ=0,RationVolaillesNécessaireMoQ=0,RationVolaillesNécessaireMaQ=0),"","ration complète volailles (t)")</f>
        <v/>
      </c>
      <c r="C40" s="255">
        <f t="shared" si="0"/>
        <v>0</v>
      </c>
      <c r="D40" s="260">
        <f t="shared" si="1"/>
        <v>0</v>
      </c>
      <c r="E40" s="261">
        <f t="shared" si="2"/>
        <v>0</v>
      </c>
      <c r="F40" s="244">
        <f>IF(RationVolaillesNécessaireBQ=0,,IF(RationVolaillesNécessaireBQ-VLOOKUP(RationVolailles,StockDansSilos,3,FALSE)&lt;=0,0,ROUNDUP(RationVolaillesNécessaireBQ-VLOOKUP(RationVolailles,StockDansSilos,3,FALSE),0)))</f>
        <v>0</v>
      </c>
      <c r="G40" s="240">
        <f>IF(RationVolaillesNécessaireMoQ=0,,IF(RationVolaillesNécessaireMoQ-VLOOKUP(RationVolailles,StockDansSilos,3,FALSE)&lt;=0,0,ROUNDUP(RationVolaillesNécessaireMoQ-VLOOKUP(RationVolailles,StockDansSilos,3,FALSE),0)))</f>
        <v>0</v>
      </c>
      <c r="H40" s="245">
        <f>IF(RationVolaillesNécessaireMaQ=0,,IF(RationVolaillesNécessaireMaQ-VLOOKUP(RationVolailles,StockDansSilos,3,FALSE)&lt;=0,0,ROUNDUP(RationVolaillesNécessaireMaQ-VLOOKUP(RationVolailles,StockDansSilos,3,FALSE),0)))</f>
        <v>0</v>
      </c>
      <c r="I40" s="181"/>
      <c r="J40" s="199"/>
      <c r="K40" s="165" t="str">
        <f>IF(AND(CommandeRationVolaillesBQ=0,CommandeRationVolaillesMoQ=0,CommandeRationVolaillesMaQ=0),"",((PrixRationVolailles*CommandeRationVolaillesBQ)+(PrixRationVolailles*CommandeRationVolaillesMoQ*0.9)+(PrixRationVolailles*CommandeRationVolaillesMaQ*0.8)))</f>
        <v/>
      </c>
      <c r="L40" s="181"/>
      <c r="M40" s="207" t="s">
        <v>276</v>
      </c>
      <c r="N40" s="210" t="str">
        <f>IF(CoutPaillageAnnuelCaprins="","coût : 0€/an",CoutPaillageAnnuelCaprins)</f>
        <v>coût : 0€/an</v>
      </c>
      <c r="O40" s="210"/>
      <c r="P40" s="210"/>
      <c r="Q40" s="211"/>
      <c r="R40" s="178"/>
      <c r="S40" s="178"/>
      <c r="T40" s="176"/>
    </row>
    <row r="41" spans="1:20" s="15" customFormat="1" x14ac:dyDescent="0.2">
      <c r="A41" s="174"/>
      <c r="B41" s="192" t="str">
        <f>IF(AND(RationPintadesNécessaireBQ=0,RationPintadesNécessaireMoQ=0,RationPintadesNécessaireMaQ=0),"","ration complète pintades (t)")</f>
        <v/>
      </c>
      <c r="C41" s="256">
        <f t="shared" si="0"/>
        <v>0</v>
      </c>
      <c r="D41" s="262">
        <f t="shared" si="1"/>
        <v>0</v>
      </c>
      <c r="E41" s="263">
        <f t="shared" si="2"/>
        <v>0</v>
      </c>
      <c r="F41" s="246">
        <f>IF(RationPintadesNécessaireBQ=0,,IF(RationPintadesNécessaireBQ-VLOOKUP(RationPintades,StockDansSilos,3,FALSE)&lt;=0,0,ROUNDUP(RationPintadesNécessaireBQ-VLOOKUP(RationPintades,StockDansSilos,3,FALSE),0)))</f>
        <v>0</v>
      </c>
      <c r="G41" s="239">
        <f>IF(RationPintadesNécessaireMoQ=0,,IF(RationPintadesNécessaireMoQ-VLOOKUP(RationPintades,StockDansSilos,3,FALSE)&lt;=0,0,ROUNDUP(RationPintadesNécessaireMoQ-VLOOKUP(RationPintades,StockDansSilos,3,FALSE),0)))</f>
        <v>0</v>
      </c>
      <c r="H41" s="247">
        <f>IF(RationPintadesNécessaireMaQ=0,,IF(RationPintadesNécessaireMaQ-VLOOKUP(RationPintades,StockDansSilos,3,FALSE)&lt;=0,0,ROUNDUP(RationPintadesNécessaireMaQ-VLOOKUP(RationPintades,StockDansSilos,3,FALSE),0)))</f>
        <v>0</v>
      </c>
      <c r="I41" s="181"/>
      <c r="J41" s="198"/>
      <c r="K41" s="189" t="str">
        <f>IF(AND(CommandeRationPintadesBQ=0,CommandeRationPintadesMoQ=0,CommandeRationPintadesMaQ=0),"",((PrixRationPintades*CommandeRationPintadesBQ)+(PrixRationPintades*CommandeRationPintadesMoQ*0.9)+(PrixRationPintades*CommandeRationPintadesMaQ*0.8)))</f>
        <v/>
      </c>
      <c r="L41" s="181"/>
      <c r="M41" s="207" t="s">
        <v>277</v>
      </c>
      <c r="N41" s="96" t="str">
        <f>IF(CoutPaillageAnnuelVolailles="","coût : 0€/an",CoutPaillageAnnuelVolailles)</f>
        <v>coût : 0€/an</v>
      </c>
      <c r="O41" s="96"/>
      <c r="P41" s="96"/>
      <c r="Q41" s="208"/>
      <c r="R41" s="178"/>
      <c r="S41" s="178"/>
      <c r="T41" s="176"/>
    </row>
    <row r="42" spans="1:20" s="15" customFormat="1" x14ac:dyDescent="0.2">
      <c r="A42" s="174"/>
      <c r="B42" s="162" t="str">
        <f>IF(AND(RationLapinsNécessaireBQ=0,RationLapinsNécessaireMoQ=0,RationLapinsNécessaireMaQ=0),"","ration complète lapins (t)")</f>
        <v/>
      </c>
      <c r="C42" s="255">
        <f t="shared" si="0"/>
        <v>0</v>
      </c>
      <c r="D42" s="260">
        <f t="shared" si="1"/>
        <v>0</v>
      </c>
      <c r="E42" s="261">
        <f t="shared" si="2"/>
        <v>0</v>
      </c>
      <c r="F42" s="244">
        <f>IF(RationLapinsNécessaireBQ=0,,IF(RationLapinsNécessaireBQ-VLOOKUP(RationLapins,StockDansSilos,3,FALSE)&lt;=0,0,ROUNDUP(RationLapinsNécessaireBQ-VLOOKUP(RationLapins,StockDansSilos,3,FALSE),0)))</f>
        <v>0</v>
      </c>
      <c r="G42" s="240">
        <f>IF(RationLapinsNécessaireMoQ=0,,IF(RationLapinsNécessaireMoQ-VLOOKUP(RationLapins,StockDansSilos,3,FALSE)&lt;=0,0,ROUNDUP(RationLapinsNécessaireMoQ-VLOOKUP(RationLapins,StockDansSilos,3,FALSE),0)))</f>
        <v>0</v>
      </c>
      <c r="H42" s="245">
        <f>IF(RationLapinsNécessaireMaQ=0,,IF(RationLapinsNécessaireMaQ-VLOOKUP(RationLapins,StockDansSilos,3,FALSE)&lt;=0,0,ROUNDUP(RationLapinsNécessaireMaQ-VLOOKUP(RationLapins,StockDansSilos,3,FALSE),0)))</f>
        <v>0</v>
      </c>
      <c r="I42" s="181"/>
      <c r="J42" s="199"/>
      <c r="K42" s="165" t="str">
        <f>IF(AND(CommandeRationLapinBQ=0,CommandeRationLapinMoQ=0,CommandeRationLapinMaQ=0),"",((PrixRationLapins*CommandeRationLapinBQ)+(PrixRationLapins*CommandeRationLapinMoQ*0.9)+(PrixRationLapins*CommandeRationLapinMaQ*0.8)))</f>
        <v/>
      </c>
      <c r="L42" s="181"/>
      <c r="M42" s="207" t="s">
        <v>278</v>
      </c>
      <c r="N42" s="210" t="str">
        <f>IF(CoutPaillageAnnuelPintades="","coût : 0€/an",CoutPaillageAnnuelPintades)</f>
        <v>coût : 0€/an</v>
      </c>
      <c r="O42" s="210"/>
      <c r="P42" s="210"/>
      <c r="Q42" s="210"/>
      <c r="R42" s="171"/>
      <c r="S42" s="171"/>
      <c r="T42" s="176"/>
    </row>
    <row r="43" spans="1:20" s="15" customFormat="1" x14ac:dyDescent="0.2">
      <c r="A43" s="174"/>
      <c r="B43" s="192" t="str">
        <f>IF(AND(RationOiesNécessaireBQ=0,RationOiesNécessaireMoQ=0,RationOiesNécessaireMaQ=0),"","ration complète oies (t)")</f>
        <v/>
      </c>
      <c r="C43" s="256">
        <f t="shared" si="0"/>
        <v>0</v>
      </c>
      <c r="D43" s="262">
        <f t="shared" si="1"/>
        <v>0</v>
      </c>
      <c r="E43" s="263">
        <f t="shared" si="2"/>
        <v>0</v>
      </c>
      <c r="F43" s="246">
        <f>IF(RationOiesNécessaireBQ=0,,IF(RationOiesNécessaireBQ-VLOOKUP(RationOies,StockDansSilos,3,FALSE)&lt;=0,0,ROUNDUP(RationOiesNécessaireBQ-VLOOKUP(RationOies,StockDansSilos,3,FALSE),0)))</f>
        <v>0</v>
      </c>
      <c r="G43" s="239">
        <f>IF(RationOiesNécessaireMoQ=0,,IF(RationOiesNécessaireMoQ-VLOOKUP(RationOies,StockDansSilos,3,FALSE)&lt;=0,0,ROUNDUP(RationOiesNécessaireMoQ-VLOOKUP(RationOies,StockDansSilos,3,FALSE),0)))</f>
        <v>0</v>
      </c>
      <c r="H43" s="247">
        <f>IF(RationOiesNécessaireMaQ=0,,IF(RationOiesNécessaireMaQ-VLOOKUP(RationOies,StockDansSilos,3,FALSE)&lt;=0,0,ROUNDUP(RationOiesNécessaireMaQ-VLOOKUP(RationOies,StockDansSilos,3,FALSE),0)))</f>
        <v>0</v>
      </c>
      <c r="I43" s="181"/>
      <c r="J43" s="198"/>
      <c r="K43" s="189" t="str">
        <f>IF(AND(CommandeRationOieBQ=0,CommandeRationOieMoQ=0,CommandeRationOieMaQ=0),"",((PrixRationOies*CommandeRationOieBQ)+(PrixRationOies*CommandeRationOieMoQ*0.9)+(PrixRationOies*CommandeRationOieMaQ*0.8)))</f>
        <v/>
      </c>
      <c r="L43" s="181"/>
      <c r="M43" s="207" t="s">
        <v>279</v>
      </c>
      <c r="N43" s="96" t="str">
        <f>IF(CoutPaillageAnnuelLapins="","coût : 0€/an",CoutPaillageAnnuelLapins)</f>
        <v>coût : 0€/an</v>
      </c>
      <c r="O43" s="96"/>
      <c r="P43" s="96"/>
      <c r="Q43" s="96"/>
      <c r="R43" s="171"/>
      <c r="S43" s="171"/>
      <c r="T43" s="176"/>
    </row>
    <row r="44" spans="1:20" s="15" customFormat="1" x14ac:dyDescent="0.2">
      <c r="A44" s="174"/>
      <c r="B44" s="162" t="str">
        <f>IF(AND(RationCanardsNécessaireBQ=0,RationCanardsNécessaireMoQ=0,RationCanardsNécessaireMaQ=0),"","ration complète canards (t)")</f>
        <v/>
      </c>
      <c r="C44" s="255">
        <f t="shared" si="0"/>
        <v>0</v>
      </c>
      <c r="D44" s="260">
        <f t="shared" si="1"/>
        <v>0</v>
      </c>
      <c r="E44" s="261">
        <f t="shared" si="2"/>
        <v>0</v>
      </c>
      <c r="F44" s="244">
        <f>IF(RationCanardsNécessaireBQ=0,,IF(RationCanardsNécessaireBQ-VLOOKUP(RationCanards,StockDansSilos,3,FALSE)&lt;=0,0,ROUNDUP(RationCanardsNécessaireBQ-VLOOKUP(RationCanards,StockDansSilos,3,FALSE),0)))</f>
        <v>0</v>
      </c>
      <c r="G44" s="240">
        <f>IF(RationCanardsNécessaireMoQ=0,,IF(RationCanardsNécessaireMoQ-VLOOKUP(RationCanards,StockDansSilos,3,FALSE)&lt;=0,0,ROUNDUP(RationCanardsNécessaireMoQ-VLOOKUP(RationCanards,StockDansSilos,3,FALSE),0)))</f>
        <v>0</v>
      </c>
      <c r="H44" s="245">
        <f>IF(RationCanardsNécessaireMaQ=0,,IF(RationCanardsNécessaireMaQ-VLOOKUP(RationCanards,StockDansSilos,3,FALSE)&lt;=0,0,ROUNDUP(RationCanardsNécessaireMaQ-VLOOKUP(RationCanards,StockDansSilos,3,FALSE),0)))</f>
        <v>0</v>
      </c>
      <c r="I44" s="181"/>
      <c r="J44" s="199"/>
      <c r="K44" s="165" t="str">
        <f>IF(AND(CommandeRationCanardBQ=0,CommandeRationCanardMoQ=0,CommandeRationCanardMaQ=0),"",((PrixRationCanards*CommandeRationCanardBQ)+(PrixRationCanards*CommandeRationCanardMoQ*0.9)+(PrixRationCanards*CommandeRationCanardMaQ*0.8)))</f>
        <v/>
      </c>
      <c r="L44" s="181"/>
      <c r="M44" s="207" t="s">
        <v>280</v>
      </c>
      <c r="N44" s="210" t="str">
        <f>IF(CoutPaillageAnnuelOvins="","coût : 0€/an",CoutPaillageAnnuelOvins)</f>
        <v>coût : 0€/an</v>
      </c>
      <c r="O44" s="210"/>
      <c r="P44" s="210"/>
      <c r="Q44" s="210"/>
      <c r="R44" s="171"/>
      <c r="S44" s="171"/>
      <c r="T44" s="176"/>
    </row>
    <row r="45" spans="1:20" s="15" customFormat="1" x14ac:dyDescent="0.2">
      <c r="A45" s="174"/>
      <c r="B45" s="192" t="str">
        <f>IF(AND(RationOvinsNécessaireBQ=0,RationOvinsNécessaireMoQ=0,RationOvinsNécessaireMaQ=0),"","ration complète ovins (t)")</f>
        <v/>
      </c>
      <c r="C45" s="256">
        <f t="shared" si="0"/>
        <v>0</v>
      </c>
      <c r="D45" s="262">
        <f t="shared" si="1"/>
        <v>0</v>
      </c>
      <c r="E45" s="263">
        <f t="shared" si="2"/>
        <v>0</v>
      </c>
      <c r="F45" s="246">
        <f>IF(RationOvinsNécessaireBQ=0,,IF(RationOvinsNécessaireBQ-VLOOKUP(RationOvins,StockDansSilos,3,FALSE)&lt;=0,0,ROUNDUP(RationOvinsNécessaireBQ-VLOOKUP(RationOvins,StockDansSilos,3,FALSE),0)))</f>
        <v>0</v>
      </c>
      <c r="G45" s="239">
        <f>IF(RationOvinsNécessaireMoQ=0,,IF(RationOvinsNécessaireMoQ-VLOOKUP(RationOvins,StockDansSilos,3,FALSE)&lt;=0,0,ROUNDUP(RationOvinsNécessaireMoQ-VLOOKUP(RationOvins,StockDansSilos,3,FALSE),0)))</f>
        <v>0</v>
      </c>
      <c r="H45" s="247">
        <f>IF(RationOvinsNécessaireMaQ=0,,IF(RationOvinsNécessaireMaQ-VLOOKUP(RationOvins,StockDansSilos,3,FALSE)&lt;=0,0,ROUNDUP(RationOvinsNécessaireMaQ-VLOOKUP(RationOvins,StockDansSilos,3,FALSE),0)))</f>
        <v>0</v>
      </c>
      <c r="I45" s="181"/>
      <c r="J45" s="198"/>
      <c r="K45" s="189" t="str">
        <f>IF(AND(CommandeRationOvinBQ=0,CommandeRationOvinMoQ=0,CommandeRationOvinMaQ=0),"",((PrixRationOvins*CommandeRationOvinBQ)+(PrixRationOvins*CommandeRationOvinMoQ*0.9)+(PrixRationOvins*CommandeRationOvinMaQ*0.8)))</f>
        <v/>
      </c>
      <c r="L45" s="181"/>
      <c r="M45" s="207" t="s">
        <v>281</v>
      </c>
      <c r="N45" s="96" t="str">
        <f>IF(CoutPaillageAnnuelOies="","coût : 0€/an",CoutPaillageAnnuelOies)</f>
        <v>coût : 0€/an</v>
      </c>
      <c r="O45" s="96"/>
      <c r="P45" s="96"/>
      <c r="Q45" s="96"/>
      <c r="R45" s="171"/>
      <c r="S45" s="171"/>
      <c r="T45" s="176"/>
    </row>
    <row r="46" spans="1:20" s="15" customFormat="1" x14ac:dyDescent="0.2">
      <c r="A46" s="174"/>
      <c r="B46" s="162" t="str">
        <f>IF(AND(RationHiverOvinsNécessaireBQ=0,RationHiverOvinsNécessaireMoQ=0,RationHiverOvinsNécessaireMaQ=0),"","ration complète hivernale ovins (t)")</f>
        <v/>
      </c>
      <c r="C46" s="255">
        <f t="shared" si="0"/>
        <v>0</v>
      </c>
      <c r="D46" s="260">
        <f t="shared" si="1"/>
        <v>0</v>
      </c>
      <c r="E46" s="261">
        <f t="shared" si="2"/>
        <v>0</v>
      </c>
      <c r="F46" s="244">
        <f>IF(RationHiverOvinsNécessaireBQ=0,,IF(RationHiverOvinsNécessaireBQ-VLOOKUP(RationHiverOvins,StockDansSilos,3,FALSE)&lt;=0,0,ROUNDUP(RationHiverOvinsNécessaireBQ-VLOOKUP(RationHiverOvins,StockDansSilos,3,FALSE),0)))</f>
        <v>0</v>
      </c>
      <c r="G46" s="240">
        <f>IF(RationHiverOvinsNécessaireMoQ=0,,IF(RationHiverOvinsNécessaireMoQ-VLOOKUP(RationHiverOvins,StockDansSilos,3,FALSE)&lt;=0,0,ROUNDUP(RationHiverOvinsNécessaireMoQ-VLOOKUP(RationHiverOvins,StockDansSilos,3,FALSE),0)))</f>
        <v>0</v>
      </c>
      <c r="H46" s="245">
        <f>IF(RationHiverOvinsNécessaireMaQ=0,,IF(RationHiverOvinsNécessaireMaQ-VLOOKUP(RationHiverOvins,StockDansSilos,3,FALSE)&lt;=0,0,ROUNDUP(RationHiverOvinsNécessaireMaQ-VLOOKUP(RationHiverOvins,StockDansSilos,3,FALSE),0)))</f>
        <v>0</v>
      </c>
      <c r="I46" s="181"/>
      <c r="J46" s="199"/>
      <c r="K46" s="165" t="str">
        <f>IF(AND(CommandeRationHiverOvinBQ=0,CommandeRationHiverOvinMoQ=0,CommandeRationHiverOvinMaQ=0),"",((PrixRationHiverOvins*CommandeRationHiverOvinBQ)+(PrixRationHiverOvins*CommandeRationHiverOvinMoQ*0.9)+(PrixRationHiverOvins*CommandeRationHiverOvinMaQ*0.8)))</f>
        <v/>
      </c>
      <c r="L46" s="181"/>
      <c r="M46" s="207" t="s">
        <v>282</v>
      </c>
      <c r="N46" s="210" t="str">
        <f>IF(CoutPaillageAnnuelCanards="","coût : 0€/an",CoutPaillageAnnuelCanards)</f>
        <v>coût : 0€/an</v>
      </c>
      <c r="O46" s="210"/>
      <c r="P46" s="210"/>
      <c r="Q46" s="210"/>
      <c r="R46" s="171"/>
      <c r="S46" s="171"/>
      <c r="T46" s="176"/>
    </row>
    <row r="47" spans="1:20" s="15" customFormat="1" x14ac:dyDescent="0.2">
      <c r="A47" s="174"/>
      <c r="B47" s="192" t="str">
        <f>IF(AND(RationDaimsNécessaireBQ=0,RationDaimsNécessaireMoQ=0,RationDaimsNécessaireMaQ=0),"","ration complète hivernale daims (t)")</f>
        <v/>
      </c>
      <c r="C47" s="256">
        <f t="shared" si="0"/>
        <v>0</v>
      </c>
      <c r="D47" s="262">
        <f t="shared" si="1"/>
        <v>0</v>
      </c>
      <c r="E47" s="263">
        <f t="shared" si="2"/>
        <v>0</v>
      </c>
      <c r="F47" s="246">
        <f>IF(RationDaimsNécessaireBQ=0,,IF(RationDaimsNécessaireBQ-VLOOKUP(RationDaims,StockDansSilos,3,FALSE)&lt;=0,0,ROUNDUP(RationDaimsNécessaireBQ-VLOOKUP(RationDaims,StockDansSilos,3,FALSE),0)))</f>
        <v>0</v>
      </c>
      <c r="G47" s="239">
        <f>IF(RationDaimsNécessaireMoQ=0,,IF(RationDaimsNécessaireMoQ-VLOOKUP(RationDaims,StockDansSilos,3,FALSE)&lt;=0,0,ROUNDUP(RationDaimsNécessaireMoQ-VLOOKUP(RationDaims,StockDansSilos,3,FALSE),0)))</f>
        <v>0</v>
      </c>
      <c r="H47" s="247">
        <f>IF(RationDaimsNécessaireMaQ=0,,IF(RationDaimsNécessaireMaQ-VLOOKUP(RationDaims,StockDansSilos,3,FALSE)&lt;=0,0,ROUNDUP(RationDaimsNécessaireMaQ-VLOOKUP(RationDaims,StockDansSilos,3,FALSE),0)))</f>
        <v>0</v>
      </c>
      <c r="I47" s="181"/>
      <c r="J47" s="198"/>
      <c r="K47" s="189" t="str">
        <f>IF(AND(CommandeRationDaimsBQ=0,CommandeRationDaimsMoQ=0,CommandeRationDaimsMaQ=0),"",((PrixRationDaims*CommandeRationDaimsBQ)+(PrixRationDaims*CommandeRationDaimsMoQ*0.9)+(PrixRationDaims*CommandeRationDaimsMaQ*0.8)))</f>
        <v/>
      </c>
      <c r="L47" s="181"/>
      <c r="M47" s="207" t="s">
        <v>371</v>
      </c>
      <c r="N47" s="215" t="s">
        <v>143</v>
      </c>
      <c r="O47" s="96"/>
      <c r="P47" s="96"/>
      <c r="Q47" s="96"/>
      <c r="R47" s="171"/>
      <c r="S47" s="171"/>
      <c r="T47" s="176"/>
    </row>
    <row r="48" spans="1:20" s="15" customFormat="1" x14ac:dyDescent="0.2">
      <c r="A48" s="174"/>
      <c r="B48" s="162" t="str">
        <f>IF(AND(RationChevauxSelleNécessaireBQ=0,RationChevauxSelleNécessaireMoQ=0,RationChevauxSelleNécessaireMaQ=0),"","ration complète hivernale chevaux de selle (t)")</f>
        <v/>
      </c>
      <c r="C48" s="255">
        <f t="shared" si="0"/>
        <v>0</v>
      </c>
      <c r="D48" s="260">
        <f t="shared" si="1"/>
        <v>0</v>
      </c>
      <c r="E48" s="261">
        <f t="shared" si="2"/>
        <v>0</v>
      </c>
      <c r="F48" s="244">
        <f>IF(RationChevauxSelleNécessaireBQ=0,,IF(RationChevauxSelleNécessaireBQ-VLOOKUP(RationChevauxSelle,StockDansSilos,3,FALSE)&lt;=0,0,ROUNDUP(RationChevauxSelleNécessaireBQ-VLOOKUP(RationChevauxSelle,StockDansSilos,3,FALSE),0)))</f>
        <v>0</v>
      </c>
      <c r="G48" s="240">
        <f>IF(RationChevauxSelleNécessaireMoQ=0,,IF(RationChevauxSelleNécessaireMoQ-VLOOKUP(RationChevauxSelle,StockDansSilos,3,FALSE)&lt;=0,0,ROUNDUP(RationChevauxSelleNécessaireMoQ-VLOOKUP(RationChevauxSelle,StockDansSilos,3,FALSE),0)))</f>
        <v>0</v>
      </c>
      <c r="H48" s="245">
        <f>IF(RationChevauxSelleNécessaireMaQ=0,,IF(RationChevauxSelleNécessaireMaQ-VLOOKUP(RationChevauxSelle,StockDansSilos,3,FALSE)&lt;=0,0,ROUNDUP(RationChevauxSelleNécessaireMaQ-VLOOKUP(RationChevauxSelle,StockDansSilos,3,FALSE),0)))</f>
        <v>0</v>
      </c>
      <c r="I48" s="181"/>
      <c r="J48" s="199"/>
      <c r="K48" s="165" t="str">
        <f>IF(AND(CommandeRationChevauxSelleBQ=0,CommandeRationChevauxSelleMoQ=0,CommandeRationChevauxSelleMaQ=0),"",((PrixRationChevauxSelle*CommandeRationChevauxSelleBQ)+(PrixRationChevauxSelle*CommandeRationChevauxSelleMoQ*0.9)+(PrixRationChevauxSelle*CommandeRationChevauxSelleMaQ*0.8)))</f>
        <v/>
      </c>
      <c r="L48" s="181"/>
      <c r="M48" s="207" t="s">
        <v>149</v>
      </c>
      <c r="N48" s="210" t="str">
        <f>IF(CoutPaillageAnnuelChevauxSelle="","coût : 0€/an",CoutPaillageAnnuelChevauxSelle)</f>
        <v>coût : 0€/an</v>
      </c>
      <c r="O48" s="210"/>
      <c r="P48" s="210"/>
      <c r="Q48" s="210"/>
      <c r="R48" s="171"/>
      <c r="S48" s="171"/>
      <c r="T48" s="176"/>
    </row>
    <row r="49" spans="1:20" s="15" customFormat="1" x14ac:dyDescent="0.2">
      <c r="A49" s="174"/>
      <c r="B49" s="192" t="str">
        <f>IF(AND(RationChevauxTraitNécessaireBQ=0,RationChevauxTraitNécessaireMoQ=0,RationChevauxTraitNécessaireMaQ=0),"","ration complète hivernale chevaux de trait (t)")</f>
        <v/>
      </c>
      <c r="C49" s="256">
        <f t="shared" si="0"/>
        <v>0</v>
      </c>
      <c r="D49" s="262">
        <f t="shared" si="1"/>
        <v>0</v>
      </c>
      <c r="E49" s="263">
        <f t="shared" si="2"/>
        <v>0</v>
      </c>
      <c r="F49" s="246">
        <f>IF(RationChevauxTraitNécessaireBQ=0,,IF(RationChevauxTraitNécessaireBQ-VLOOKUP(RationChevauxTrait,StockDansSilos,3,FALSE)&lt;=0,0,ROUNDUP(RationChevauxTraitNécessaireBQ-VLOOKUP(RationChevauxTrait,StockDansSilos,3,FALSE),0)))</f>
        <v>0</v>
      </c>
      <c r="G49" s="239">
        <f>IF(RationChevauxTraitNécessaireMoQ=0,,IF(RationChevauxTraitNécessaireMoQ-VLOOKUP(RationChevauxTrait,StockDansSilos,3,FALSE)&lt;=0,0,ROUNDUP(RationChevauxTraitNécessaireMoQ-VLOOKUP(RationChevauxTrait,StockDansSilos,3,FALSE),0)))</f>
        <v>0</v>
      </c>
      <c r="H49" s="247">
        <f>IF(RationChevauxTraitNécessaireMaQ=0,,IF(RationChevauxTraitNécessaireMaQ-VLOOKUP(RationChevauxTrait,StockDansSilos,3,FALSE)&lt;=0,0,ROUNDUP(RationChevauxTraitNécessaireMaQ-VLOOKUP(RationChevauxTrait,StockDansSilos,3,FALSE),0)))</f>
        <v>0</v>
      </c>
      <c r="I49" s="181"/>
      <c r="J49" s="198"/>
      <c r="K49" s="189" t="str">
        <f>IF(AND(CommandeRationChevauxTraitBQ=0,CommandeRationChevauxTraitMoQ=0,CommandeRationChevauxTraitMaQ=0),"",((PrixRationChevauxTrait*CommandeRationChevauxTraitBQ)+(PrixRationChevauxTrait*CommandeRationChevauxTraitMoQ*0.9)+(PrixRationChevauxTrait*CommandeRationChevauxTraitMaQ*0.8)))</f>
        <v/>
      </c>
      <c r="L49" s="181"/>
      <c r="M49" s="207" t="s">
        <v>150</v>
      </c>
      <c r="N49" s="96" t="str">
        <f>IF(CoutPaillageAnnuelChevauxTrait="","coût : 0€/an",CoutPaillageAnnuelChevauxTrait)</f>
        <v>coût : 0€/an</v>
      </c>
      <c r="O49" s="96"/>
      <c r="P49" s="96"/>
      <c r="Q49" s="96"/>
      <c r="R49" s="171"/>
      <c r="S49" s="171"/>
      <c r="T49" s="176"/>
    </row>
    <row r="50" spans="1:20" s="15" customFormat="1" ht="13.5" thickBot="1" x14ac:dyDescent="0.25">
      <c r="A50" s="174"/>
      <c r="B50" s="164" t="str">
        <f>IF(AND(RationPoneysNécessaireBQ=0,RationPoneysNécessaireMoQ=0,RationPoneysNécessaireMaQ=0),"","ration complète hivernale poneys (t)")</f>
        <v/>
      </c>
      <c r="C50" s="259">
        <f t="shared" si="0"/>
        <v>0</v>
      </c>
      <c r="D50" s="268">
        <f t="shared" si="1"/>
        <v>0</v>
      </c>
      <c r="E50" s="269">
        <f t="shared" si="2"/>
        <v>0</v>
      </c>
      <c r="F50" s="248">
        <f>IF(RationPoneysNécessaireBQ=0,,IF(RationPoneysNécessaireBQ-VLOOKUP(RationPoneys,StockDansSilos,3,FALSE)&lt;=0,0,ROUNDUP(RationPoneysNécessaireBQ-VLOOKUP(RationPoneys,StockDansSilos,3,FALSE),0)))</f>
        <v>0</v>
      </c>
      <c r="G50" s="249">
        <f>IF(RationPoneysNécessaireMoQ=0,,IF(RationPoneysNécessaireMoQ-VLOOKUP(RationPoneys,StockDansSilos,3,FALSE)&lt;=0,0,ROUNDUP(RationPoneysNécessaireMoQ-VLOOKUP(RationPoneys,StockDansSilos,3,FALSE),0)))</f>
        <v>0</v>
      </c>
      <c r="H50" s="250">
        <f>IF(RationPoneysNécessaireMaQ=0,,IF(RationPoneysNécessaireMaQ-VLOOKUP(RationPoneys,StockDansSilos,3,FALSE)&lt;=0,0,ROUNDUP(RationPoneysNécessaireMaQ-VLOOKUP(RationPoneys,StockDansSilos,3,FALSE),0)))</f>
        <v>0</v>
      </c>
      <c r="I50" s="181"/>
      <c r="J50" s="200"/>
      <c r="K50" s="166" t="str">
        <f>IF(AND(CommandeRationPoneysBQ=0,CommandeRationPoneysMoQ=0,CommandeRationPoneysMaQ=0),"",((PrixRationPoneys*CommandeRationPoneysBQ)+(PrixRationPoneys*CommandeRationPoneysMoQ*0.9)+(PrixRationPoneys*CommandeRationPoneysMaQ*0.8)))</f>
        <v/>
      </c>
      <c r="L50" s="181"/>
      <c r="M50" s="207" t="s">
        <v>151</v>
      </c>
      <c r="N50" s="210" t="str">
        <f>IF(CoutPaillageAnnuelPoneys="","coût : 0€/an",CoutPaillageAnnuelPoneys)</f>
        <v>coût : 0€/an</v>
      </c>
      <c r="O50" s="210"/>
      <c r="P50" s="210"/>
      <c r="Q50" s="210"/>
      <c r="R50" s="171"/>
      <c r="S50" s="171"/>
      <c r="T50" s="176"/>
    </row>
    <row r="51" spans="1:20" s="15" customFormat="1" x14ac:dyDescent="0.2">
      <c r="A51" s="174"/>
      <c r="B51" s="201"/>
      <c r="C51" s="201"/>
      <c r="D51" s="201"/>
      <c r="E51" s="201"/>
      <c r="F51" s="201"/>
      <c r="G51" s="201"/>
      <c r="H51" s="201"/>
      <c r="I51" s="201"/>
      <c r="J51" s="202"/>
      <c r="K51" s="171"/>
      <c r="L51" s="203"/>
      <c r="M51" s="181"/>
      <c r="N51" s="204"/>
      <c r="O51" s="171"/>
      <c r="P51" s="171"/>
      <c r="Q51" s="171"/>
      <c r="R51" s="171"/>
      <c r="S51" s="171"/>
      <c r="T51" s="176"/>
    </row>
    <row r="52" spans="1:20" s="15" customFormat="1" x14ac:dyDescent="0.2">
      <c r="A52" s="76"/>
      <c r="B52" s="171"/>
      <c r="C52" s="171"/>
      <c r="D52" s="171"/>
      <c r="E52" s="171"/>
      <c r="F52" s="171"/>
      <c r="G52" s="171"/>
      <c r="H52" s="171"/>
      <c r="I52" s="171"/>
      <c r="J52" s="171"/>
      <c r="K52" s="171"/>
      <c r="L52" s="171"/>
      <c r="M52" s="171"/>
      <c r="N52" s="171"/>
      <c r="O52" s="171"/>
      <c r="P52" s="171"/>
      <c r="Q52" s="171"/>
      <c r="R52" s="171"/>
      <c r="S52" s="171"/>
      <c r="T52" s="176"/>
    </row>
    <row r="53" spans="1:20" s="15" customFormat="1" x14ac:dyDescent="0.2">
      <c r="A53" s="76"/>
      <c r="B53" s="171"/>
      <c r="C53" s="171"/>
      <c r="D53" s="171"/>
      <c r="E53" s="171"/>
      <c r="F53" s="171"/>
      <c r="G53" s="171"/>
      <c r="H53" s="171"/>
      <c r="I53" s="426" t="s">
        <v>200</v>
      </c>
      <c r="J53" s="427"/>
      <c r="K53" s="206" t="e">
        <f>SUM(K9:K50)</f>
        <v>#REF!</v>
      </c>
      <c r="L53" s="171"/>
      <c r="M53" s="171"/>
      <c r="N53" s="171"/>
      <c r="O53" s="171"/>
      <c r="P53" s="171"/>
      <c r="Q53" s="171"/>
      <c r="R53" s="171"/>
      <c r="S53" s="171"/>
      <c r="T53" s="176"/>
    </row>
    <row r="54" spans="1:20" s="15" customFormat="1" x14ac:dyDescent="0.2">
      <c r="A54" s="76"/>
      <c r="B54" s="171"/>
      <c r="C54" s="171"/>
      <c r="D54" s="171"/>
      <c r="E54" s="171"/>
      <c r="F54" s="171"/>
      <c r="G54" s="171"/>
      <c r="H54" s="171"/>
      <c r="I54" s="171"/>
      <c r="J54" s="171"/>
      <c r="K54" s="171"/>
      <c r="L54" s="171"/>
      <c r="M54" s="171"/>
      <c r="N54" s="171"/>
      <c r="O54" s="171"/>
      <c r="P54" s="171"/>
      <c r="Q54" s="171"/>
      <c r="R54" s="171"/>
      <c r="S54" s="171"/>
      <c r="T54" s="176"/>
    </row>
    <row r="55" spans="1:20" s="15" customFormat="1" x14ac:dyDescent="0.2">
      <c r="A55" s="76"/>
      <c r="B55" s="171"/>
      <c r="C55" s="171"/>
      <c r="D55" s="171"/>
      <c r="E55" s="171"/>
      <c r="F55" s="171"/>
      <c r="G55" s="171"/>
      <c r="H55" s="171"/>
      <c r="I55" s="171"/>
      <c r="J55" s="171"/>
      <c r="K55" s="171"/>
      <c r="L55" s="171"/>
      <c r="M55" s="171"/>
      <c r="N55" s="171"/>
      <c r="O55" s="171"/>
      <c r="P55" s="171"/>
      <c r="Q55" s="171"/>
      <c r="R55" s="171"/>
      <c r="S55" s="171"/>
      <c r="T55" s="176"/>
    </row>
    <row r="56" spans="1:20" s="15" customFormat="1" x14ac:dyDescent="0.2">
      <c r="A56" s="76"/>
      <c r="B56" s="171"/>
      <c r="C56" s="171"/>
      <c r="D56" s="171"/>
      <c r="E56" s="171"/>
      <c r="F56" s="171"/>
      <c r="G56" s="171"/>
      <c r="H56" s="171"/>
      <c r="I56" s="171"/>
      <c r="J56" s="171"/>
      <c r="K56" s="171"/>
      <c r="L56" s="171"/>
      <c r="M56" s="171"/>
      <c r="N56" s="171"/>
      <c r="O56" s="171"/>
      <c r="P56" s="171"/>
      <c r="Q56" s="171"/>
      <c r="R56" s="171"/>
      <c r="S56" s="171"/>
      <c r="T56" s="176"/>
    </row>
    <row r="57" spans="1:20" s="15" customFormat="1" x14ac:dyDescent="0.2">
      <c r="A57" s="76"/>
      <c r="B57" s="171"/>
      <c r="C57" s="171"/>
      <c r="D57" s="171"/>
      <c r="E57" s="171"/>
      <c r="F57" s="171"/>
      <c r="G57" s="171"/>
      <c r="H57" s="171"/>
      <c r="I57" s="171"/>
      <c r="J57" s="171"/>
      <c r="K57" s="171"/>
      <c r="L57" s="171"/>
      <c r="M57" s="171"/>
      <c r="N57" s="171"/>
      <c r="O57" s="171"/>
      <c r="P57" s="171"/>
      <c r="Q57" s="171"/>
      <c r="R57" s="171"/>
      <c r="S57" s="171"/>
      <c r="T57" s="176"/>
    </row>
    <row r="58" spans="1:20" s="15" customFormat="1" x14ac:dyDescent="0.2">
      <c r="A58" s="76"/>
      <c r="B58" s="171"/>
      <c r="C58" s="212"/>
      <c r="D58" s="171"/>
      <c r="E58" s="171"/>
      <c r="F58" s="171"/>
      <c r="G58" s="171"/>
      <c r="H58" s="171"/>
      <c r="I58" s="171"/>
      <c r="J58" s="171"/>
      <c r="K58" s="171"/>
      <c r="L58" s="171"/>
      <c r="M58" s="171"/>
      <c r="N58" s="171"/>
      <c r="O58" s="171"/>
      <c r="P58" s="171"/>
      <c r="Q58" s="171"/>
      <c r="R58" s="171"/>
      <c r="S58" s="171"/>
      <c r="T58" s="176"/>
    </row>
    <row r="59" spans="1:20" s="15" customFormat="1" x14ac:dyDescent="0.2">
      <c r="A59" s="76"/>
      <c r="B59" s="171"/>
      <c r="C59" s="213"/>
      <c r="D59" s="213" t="s">
        <v>26</v>
      </c>
      <c r="E59" s="214" t="e">
        <f>PlaceRestanteDansEntrepôtsAprèsCommande</f>
        <v>#REF!</v>
      </c>
      <c r="F59" s="431" t="s">
        <v>92</v>
      </c>
      <c r="G59" s="428"/>
      <c r="H59" s="432" t="s">
        <v>27</v>
      </c>
      <c r="I59" s="433"/>
      <c r="J59" s="171"/>
      <c r="K59" s="171"/>
      <c r="L59" s="171"/>
      <c r="M59" s="171"/>
      <c r="N59" s="171"/>
      <c r="O59" s="171"/>
      <c r="P59" s="171"/>
      <c r="Q59" s="171"/>
      <c r="R59" s="171"/>
      <c r="S59" s="171"/>
      <c r="T59" s="176"/>
    </row>
    <row r="60" spans="1:20" s="15" customFormat="1" x14ac:dyDescent="0.2">
      <c r="A60" s="76"/>
      <c r="B60" s="434" t="s">
        <v>806</v>
      </c>
      <c r="C60" s="434"/>
      <c r="D60" s="434"/>
      <c r="E60" s="214" t="s">
        <v>143</v>
      </c>
      <c r="F60" s="431" t="s">
        <v>92</v>
      </c>
      <c r="G60" s="428"/>
      <c r="H60" s="435" t="s">
        <v>807</v>
      </c>
      <c r="I60" s="436"/>
      <c r="J60" s="171"/>
      <c r="K60" s="171"/>
      <c r="L60" s="171"/>
      <c r="M60" s="171"/>
      <c r="N60" s="171"/>
      <c r="O60" s="171"/>
      <c r="P60" s="171"/>
      <c r="Q60" s="171"/>
      <c r="R60" s="171"/>
      <c r="S60" s="171"/>
      <c r="T60" s="176"/>
    </row>
    <row r="61" spans="1:20" s="15" customFormat="1" x14ac:dyDescent="0.2">
      <c r="A61" s="76"/>
      <c r="B61" s="171"/>
      <c r="C61" s="171"/>
      <c r="D61" s="231" t="s">
        <v>827</v>
      </c>
      <c r="E61" s="214" t="s">
        <v>143</v>
      </c>
      <c r="F61" s="431" t="s">
        <v>92</v>
      </c>
      <c r="G61" s="428"/>
      <c r="H61" s="437" t="s">
        <v>828</v>
      </c>
      <c r="I61" s="438"/>
      <c r="J61" s="171"/>
      <c r="K61" s="171"/>
      <c r="L61" s="171"/>
      <c r="M61" s="171"/>
      <c r="N61" s="171"/>
      <c r="O61" s="171"/>
      <c r="P61" s="171"/>
      <c r="Q61" s="171"/>
      <c r="R61" s="171"/>
      <c r="S61" s="171"/>
      <c r="T61" s="176"/>
    </row>
    <row r="62" spans="1:20" s="15" customFormat="1" x14ac:dyDescent="0.2">
      <c r="A62" s="76"/>
      <c r="B62" s="171"/>
      <c r="C62" s="171"/>
      <c r="D62" s="171"/>
      <c r="E62" s="171"/>
      <c r="F62" s="178"/>
      <c r="G62" s="178"/>
      <c r="H62" s="178"/>
      <c r="I62" s="178"/>
      <c r="J62" s="178"/>
      <c r="K62" s="178"/>
      <c r="L62" s="178"/>
      <c r="M62" s="178"/>
      <c r="N62" s="178"/>
      <c r="O62" s="178"/>
      <c r="P62" s="178"/>
      <c r="Q62" s="171"/>
      <c r="R62" s="171"/>
      <c r="S62" s="171"/>
      <c r="T62" s="176"/>
    </row>
    <row r="63" spans="1:20" s="15" customFormat="1" x14ac:dyDescent="0.2">
      <c r="A63" s="76"/>
      <c r="B63" s="16" t="s">
        <v>315</v>
      </c>
      <c r="C63" s="428" t="s">
        <v>92</v>
      </c>
      <c r="D63" s="429"/>
      <c r="E63" s="171"/>
      <c r="F63" s="178"/>
      <c r="G63" s="178"/>
      <c r="H63" s="178"/>
      <c r="I63" s="178"/>
      <c r="J63" s="178"/>
      <c r="K63" s="178"/>
      <c r="L63" s="178"/>
      <c r="M63" s="178"/>
      <c r="N63" s="178"/>
      <c r="O63" s="178"/>
      <c r="P63" s="178"/>
      <c r="Q63" s="171"/>
      <c r="R63" s="171"/>
      <c r="S63" s="171"/>
      <c r="T63" s="176"/>
    </row>
    <row r="64" spans="1:20" s="15" customFormat="1" x14ac:dyDescent="0.2">
      <c r="A64" s="76"/>
      <c r="B64" s="171"/>
      <c r="C64" s="171"/>
      <c r="D64" s="171"/>
      <c r="E64" s="171"/>
      <c r="F64" s="216"/>
      <c r="G64" s="175"/>
      <c r="H64" s="175"/>
      <c r="I64" s="216"/>
      <c r="J64" s="175"/>
      <c r="K64" s="175"/>
      <c r="L64" s="175"/>
      <c r="M64" s="175"/>
      <c r="N64" s="175"/>
      <c r="O64" s="175"/>
      <c r="P64" s="175"/>
      <c r="Q64" s="171"/>
      <c r="R64" s="171"/>
      <c r="S64" s="171"/>
      <c r="T64" s="176"/>
    </row>
    <row r="65" spans="1:20" s="15" customFormat="1" x14ac:dyDescent="0.2">
      <c r="A65" s="76"/>
      <c r="B65" s="171"/>
      <c r="C65" s="171"/>
      <c r="D65" s="171"/>
      <c r="E65" s="171"/>
      <c r="F65" s="216"/>
      <c r="G65" s="175"/>
      <c r="H65" s="175"/>
      <c r="I65" s="216"/>
      <c r="J65" s="175"/>
      <c r="K65" s="175"/>
      <c r="L65" s="175"/>
      <c r="M65" s="175"/>
      <c r="N65" s="175"/>
      <c r="O65" s="175"/>
      <c r="P65" s="175"/>
      <c r="Q65" s="171"/>
      <c r="R65" s="171"/>
      <c r="S65" s="171"/>
      <c r="T65" s="176"/>
    </row>
    <row r="66" spans="1:20" s="15" customFormat="1" x14ac:dyDescent="0.2">
      <c r="A66" s="76"/>
      <c r="B66" s="430"/>
      <c r="C66" s="430"/>
      <c r="D66" s="430"/>
      <c r="E66" s="171"/>
      <c r="F66" s="216"/>
      <c r="G66" s="175"/>
      <c r="H66" s="175"/>
      <c r="I66" s="175"/>
      <c r="J66" s="175"/>
      <c r="K66" s="175"/>
      <c r="L66" s="175"/>
      <c r="M66" s="175"/>
      <c r="N66" s="175"/>
      <c r="O66" s="175"/>
      <c r="P66" s="175"/>
      <c r="Q66" s="171"/>
      <c r="R66" s="171"/>
      <c r="S66" s="171"/>
      <c r="T66" s="176"/>
    </row>
    <row r="67" spans="1:20" s="15" customFormat="1" x14ac:dyDescent="0.2">
      <c r="A67" s="76"/>
      <c r="B67" s="171"/>
      <c r="C67" s="171"/>
      <c r="D67" s="171"/>
      <c r="E67" s="171"/>
      <c r="F67" s="216"/>
      <c r="G67" s="175"/>
      <c r="H67" s="175"/>
      <c r="I67" s="175"/>
      <c r="J67" s="175"/>
      <c r="K67" s="175"/>
      <c r="L67" s="175"/>
      <c r="M67" s="175"/>
      <c r="N67" s="175"/>
      <c r="O67" s="175"/>
      <c r="P67" s="175"/>
      <c r="Q67" s="175"/>
      <c r="R67" s="175"/>
      <c r="S67" s="175"/>
      <c r="T67" s="176"/>
    </row>
    <row r="68" spans="1:20" s="15" customFormat="1" x14ac:dyDescent="0.2">
      <c r="A68" s="76"/>
      <c r="B68" s="171"/>
      <c r="C68" s="171"/>
      <c r="D68" s="171"/>
      <c r="E68" s="171"/>
      <c r="F68" s="171"/>
      <c r="G68" s="171"/>
      <c r="H68" s="171"/>
      <c r="I68" s="171"/>
      <c r="J68" s="171"/>
      <c r="K68" s="171"/>
      <c r="L68" s="171"/>
      <c r="M68" s="171"/>
      <c r="N68" s="171"/>
      <c r="O68" s="171"/>
      <c r="P68" s="171"/>
      <c r="Q68" s="171"/>
      <c r="R68" s="171"/>
      <c r="S68" s="171"/>
      <c r="T68" s="176"/>
    </row>
    <row r="69" spans="1:20" s="15" customFormat="1" x14ac:dyDescent="0.2">
      <c r="A69" s="76"/>
      <c r="B69" s="171"/>
      <c r="C69" s="171"/>
      <c r="D69" s="171"/>
      <c r="E69" s="171"/>
      <c r="F69" s="171"/>
      <c r="G69" s="171"/>
      <c r="H69" s="171"/>
      <c r="I69" s="171"/>
      <c r="J69" s="171"/>
      <c r="K69" s="171"/>
      <c r="L69" s="171"/>
      <c r="M69" s="171"/>
      <c r="N69" s="171"/>
      <c r="O69" s="171"/>
      <c r="P69" s="171"/>
      <c r="Q69" s="171"/>
      <c r="R69" s="171"/>
      <c r="S69" s="171"/>
      <c r="T69" s="176"/>
    </row>
    <row r="70" spans="1:20" s="15" customFormat="1" ht="13.5" thickBot="1" x14ac:dyDescent="0.25">
      <c r="A70" s="217"/>
      <c r="B70" s="218"/>
      <c r="C70" s="218"/>
      <c r="D70" s="218"/>
      <c r="E70" s="218"/>
      <c r="F70" s="218"/>
      <c r="G70" s="218"/>
      <c r="H70" s="218"/>
      <c r="I70" s="218"/>
      <c r="J70" s="218"/>
      <c r="K70" s="218"/>
      <c r="L70" s="218"/>
      <c r="M70" s="218"/>
      <c r="N70" s="218"/>
      <c r="O70" s="218"/>
      <c r="P70" s="218"/>
      <c r="Q70" s="218"/>
      <c r="R70" s="218"/>
      <c r="S70" s="218"/>
      <c r="T70" s="180"/>
    </row>
    <row r="71" spans="1:20" s="15" customFormat="1" x14ac:dyDescent="0.2"/>
    <row r="72" spans="1:20" s="15" customFormat="1" x14ac:dyDescent="0.2"/>
    <row r="73" spans="1:20" s="15" customFormat="1" x14ac:dyDescent="0.2"/>
    <row r="74" spans="1:20" s="15" customFormat="1" x14ac:dyDescent="0.2"/>
    <row r="75" spans="1:20" s="15" customFormat="1" x14ac:dyDescent="0.2"/>
    <row r="76" spans="1:20" s="15" customFormat="1" x14ac:dyDescent="0.2">
      <c r="A76" s="219"/>
    </row>
    <row r="77" spans="1:20" s="15" customFormat="1" x14ac:dyDescent="0.2"/>
    <row r="78" spans="1:20" s="15" customFormat="1" x14ac:dyDescent="0.2"/>
    <row r="79" spans="1:20" s="15" customFormat="1" x14ac:dyDescent="0.2"/>
    <row r="80" spans="1:20" s="15" customFormat="1" x14ac:dyDescent="0.2"/>
    <row r="81" s="15" customFormat="1" x14ac:dyDescent="0.2"/>
    <row r="82" s="15" customFormat="1" x14ac:dyDescent="0.2"/>
    <row r="83" s="15" customFormat="1" x14ac:dyDescent="0.2"/>
    <row r="84" s="15" customFormat="1" x14ac:dyDescent="0.2"/>
    <row r="85" s="15" customFormat="1" x14ac:dyDescent="0.2"/>
    <row r="86" s="15" customFormat="1" x14ac:dyDescent="0.2"/>
    <row r="87" s="15" customFormat="1" x14ac:dyDescent="0.2"/>
    <row r="88" s="15" customFormat="1" x14ac:dyDescent="0.2"/>
    <row r="89" s="15" customFormat="1" x14ac:dyDescent="0.2"/>
    <row r="90" s="15" customFormat="1" x14ac:dyDescent="0.2"/>
    <row r="91" s="15" customFormat="1" x14ac:dyDescent="0.2"/>
    <row r="92" s="15" customFormat="1" x14ac:dyDescent="0.2"/>
    <row r="93" s="15" customFormat="1" x14ac:dyDescent="0.2"/>
    <row r="94" s="15" customFormat="1" x14ac:dyDescent="0.2"/>
    <row r="95" s="15" customFormat="1" x14ac:dyDescent="0.2"/>
    <row r="96" s="15" customFormat="1" x14ac:dyDescent="0.2"/>
    <row r="97" s="15" customFormat="1" x14ac:dyDescent="0.2"/>
    <row r="98" s="15" customFormat="1" x14ac:dyDescent="0.2"/>
    <row r="99" s="15" customFormat="1" x14ac:dyDescent="0.2"/>
    <row r="100" s="15" customFormat="1" x14ac:dyDescent="0.2"/>
    <row r="101" s="15" customFormat="1" x14ac:dyDescent="0.2"/>
    <row r="102" s="15" customFormat="1" x14ac:dyDescent="0.2"/>
    <row r="103" s="15" customFormat="1" x14ac:dyDescent="0.2"/>
    <row r="104" s="15" customFormat="1" x14ac:dyDescent="0.2"/>
    <row r="105" s="15" customFormat="1" x14ac:dyDescent="0.2"/>
    <row r="106" s="15" customFormat="1" x14ac:dyDescent="0.2"/>
    <row r="107" s="15" customFormat="1" x14ac:dyDescent="0.2"/>
    <row r="108" s="15" customFormat="1" x14ac:dyDescent="0.2"/>
    <row r="109" s="15" customFormat="1" x14ac:dyDescent="0.2"/>
    <row r="110" s="15" customFormat="1" x14ac:dyDescent="0.2"/>
    <row r="111" s="15" customFormat="1" x14ac:dyDescent="0.2"/>
    <row r="112" s="15" customFormat="1" x14ac:dyDescent="0.2"/>
    <row r="113" spans="11:12" s="15" customFormat="1" x14ac:dyDescent="0.2"/>
    <row r="114" spans="11:12" s="15" customFormat="1" x14ac:dyDescent="0.2"/>
    <row r="115" spans="11:12" s="15" customFormat="1" x14ac:dyDescent="0.2"/>
    <row r="116" spans="11:12" s="15" customFormat="1" x14ac:dyDescent="0.2"/>
    <row r="117" spans="11:12" s="15" customFormat="1" x14ac:dyDescent="0.2"/>
    <row r="118" spans="11:12" s="15" customFormat="1" x14ac:dyDescent="0.2">
      <c r="K118" s="89"/>
      <c r="L118" s="89"/>
    </row>
    <row r="119" spans="11:12" s="15" customFormat="1" x14ac:dyDescent="0.2">
      <c r="K119" s="89"/>
      <c r="L119" s="89"/>
    </row>
    <row r="120" spans="11:12" s="15" customFormat="1" x14ac:dyDescent="0.2">
      <c r="K120" s="89"/>
      <c r="L120" s="89"/>
    </row>
  </sheetData>
  <sheetProtection pivotTables="0"/>
  <mergeCells count="16">
    <mergeCell ref="C1:D1"/>
    <mergeCell ref="B3:D3"/>
    <mergeCell ref="I53:J53"/>
    <mergeCell ref="C7:E7"/>
    <mergeCell ref="F7:H7"/>
    <mergeCell ref="C19:E19"/>
    <mergeCell ref="F19:H19"/>
    <mergeCell ref="C63:D63"/>
    <mergeCell ref="B66:D66"/>
    <mergeCell ref="F59:G59"/>
    <mergeCell ref="H59:I59"/>
    <mergeCell ref="B60:D60"/>
    <mergeCell ref="F60:G60"/>
    <mergeCell ref="H60:I60"/>
    <mergeCell ref="H61:I61"/>
    <mergeCell ref="F61:G61"/>
  </mergeCells>
  <conditionalFormatting sqref="J9:J14 J18 J20:J23 J25:J50">
    <cfRule type="cellIs" dxfId="77" priority="20" stopIfTrue="1" operator="notEqual">
      <formula>B9</formula>
    </cfRule>
  </conditionalFormatting>
  <conditionalFormatting sqref="E59:E61">
    <cfRule type="cellIs" dxfId="76" priority="21" stopIfTrue="1" operator="lessThan">
      <formula>0</formula>
    </cfRule>
    <cfRule type="cellIs" dxfId="75" priority="22" stopIfTrue="1" operator="equal">
      <formula>"ERREUR"</formula>
    </cfRule>
    <cfRule type="cellIs" dxfId="74" priority="23" stopIfTrue="1" operator="equal">
      <formula>"N.C."</formula>
    </cfRule>
  </conditionalFormatting>
  <conditionalFormatting sqref="J51">
    <cfRule type="cellIs" dxfId="73" priority="24" stopIfTrue="1" operator="greaterThan">
      <formula>0</formula>
    </cfRule>
  </conditionalFormatting>
  <conditionalFormatting sqref="N38 N47">
    <cfRule type="cellIs" dxfId="72" priority="25" stopIfTrue="1" operator="equal">
      <formula>"N.C."</formula>
    </cfRule>
    <cfRule type="cellIs" dxfId="71" priority="26" stopIfTrue="1" operator="greaterThan">
      <formula>0</formula>
    </cfRule>
  </conditionalFormatting>
  <conditionalFormatting sqref="B63">
    <cfRule type="cellIs" dxfId="70" priority="7" operator="equal">
      <formula>0</formula>
    </cfRule>
  </conditionalFormatting>
  <conditionalFormatting sqref="C19 C9:E9 C11:E11 C13:E13 C15:E15 C17:E17 C21:E21 C23:E23 C25:E25 C27:E27 C29:E29 C31:E31 C33:E33 C35:E35 C37:E37 C39:E39 C41:E41 C43:E43 C45:E45 C47:E47 C49:E49">
    <cfRule type="cellIs" dxfId="69" priority="4" operator="equal">
      <formula>0</formula>
    </cfRule>
  </conditionalFormatting>
  <conditionalFormatting sqref="C10:E10 C12:E12 C14:E14 C16:E16 C18:E18 C20:E20 C22:E22 C24:E24 C26:E26 C28:E28 C30:E30 C32:E32 C34:E34 C36:E36 C38:E38 C40:E40 C42:E42 C44:E44 C46:E46 C48:E48 C50:E50">
    <cfRule type="cellIs" dxfId="68" priority="3" operator="equal">
      <formula>0</formula>
    </cfRule>
  </conditionalFormatting>
  <conditionalFormatting sqref="J9:J50">
    <cfRule type="cellIs" dxfId="67" priority="19" stopIfTrue="1" operator="equal">
      <formula>B9</formula>
    </cfRule>
  </conditionalFormatting>
  <conditionalFormatting sqref="F9:H9 F11:H11 F13:H13 F15:H15 F17:H17 F19:H19 F21:H21 F23:H23 F25:H25 F27:H27 F29:H29 F31:H31 F33:H33 F35:H35 F37:H37 F39:H39 F41:H41 F43:H43 F45:H45 F47:H47 F49:H49">
    <cfRule type="cellIs" dxfId="66" priority="2" operator="equal">
      <formula>0</formula>
    </cfRule>
  </conditionalFormatting>
  <conditionalFormatting sqref="F10:H10 F12:H12 F14:H14 F16:H16 F18:H18 F20:H20 F22:H22 F24:H24 F26:H26 F28:H28 F30:H30 F32:H32 F34:H34 F36:H36 F38:H38 F40:H40 F42:H42 F44:H44 F46:H46 F48:H48 F50:H50">
    <cfRule type="cellIs" dxfId="65" priority="1" operator="equal">
      <formula>0</formula>
    </cfRule>
  </conditionalFormatting>
  <hyperlinks>
    <hyperlink ref="C1:D1" location="notice!A1" display="Cliques → ICI ←"/>
    <hyperlink ref="C63:D63" location="'coût alimentation'!A1" display="Cliques → ICI ←"/>
    <hyperlink ref="F59:G59" location="'entrepôts et local phyto'!A1" display="Cliques → ICI ←"/>
    <hyperlink ref="F60:G60" location="silos!A1" display="Cliques → ICI ←"/>
    <hyperlink ref="F61:G61" location="'aires et silos'!A1" display="Cliques → ICI ←"/>
  </hyperlinks>
  <pageMargins left="0.78740157499999996" right="0.78740157499999996" top="0.984251969" bottom="0.984251969" header="0.5" footer="0.5"/>
  <pageSetup paperSize="9" orientation="portrait" r:id="rId1"/>
  <headerFooter alignWithMargins="0"/>
  <legacy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BDD!$Y$76:$Y$100</xm:f>
          </x14:formula1>
          <xm:sqref>B6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CH1447"/>
  <sheetViews>
    <sheetView tabSelected="1" topLeftCell="AW181" zoomScale="70" zoomScaleNormal="70" workbookViewId="0">
      <selection activeCell="BC199" sqref="BC199"/>
    </sheetView>
  </sheetViews>
  <sheetFormatPr baseColWidth="10" defaultRowHeight="12.75" x14ac:dyDescent="0.2"/>
  <cols>
    <col min="1" max="1" width="39.28515625" style="277" bestFit="1" customWidth="1"/>
    <col min="2" max="2" width="30.5703125" style="288" bestFit="1" customWidth="1"/>
    <col min="3" max="3" width="25.28515625" style="276" bestFit="1" customWidth="1"/>
    <col min="4" max="4" width="26.7109375" style="276" bestFit="1" customWidth="1"/>
    <col min="5" max="5" width="12.85546875" style="276" bestFit="1" customWidth="1"/>
    <col min="6" max="6" width="108.28515625" style="276" bestFit="1" customWidth="1"/>
    <col min="7" max="7" width="15.85546875" style="276" bestFit="1" customWidth="1"/>
    <col min="8" max="8" width="25.7109375" style="276" bestFit="1" customWidth="1"/>
    <col min="9" max="9" width="37.28515625" style="276" bestFit="1" customWidth="1"/>
    <col min="10" max="10" width="27.7109375" style="276" bestFit="1" customWidth="1"/>
    <col min="11" max="11" width="19.7109375" style="276" bestFit="1" customWidth="1"/>
    <col min="12" max="12" width="15.85546875" style="276" bestFit="1" customWidth="1"/>
    <col min="13" max="13" width="23.85546875" style="276" bestFit="1" customWidth="1"/>
    <col min="14" max="14" width="16.7109375" style="276" customWidth="1"/>
    <col min="15" max="15" width="27.7109375" style="276" bestFit="1" customWidth="1"/>
    <col min="16" max="16" width="15.28515625" style="276" bestFit="1" customWidth="1"/>
    <col min="17" max="17" width="17.85546875" style="276" bestFit="1" customWidth="1"/>
    <col min="18" max="18" width="16.85546875" style="276" bestFit="1" customWidth="1"/>
    <col min="19" max="19" width="15.28515625" style="276" bestFit="1" customWidth="1"/>
    <col min="20" max="20" width="18.85546875" style="276" bestFit="1" customWidth="1"/>
    <col min="21" max="21" width="25.42578125" style="276" bestFit="1" customWidth="1"/>
    <col min="22" max="22" width="24.85546875" style="276" bestFit="1" customWidth="1"/>
    <col min="23" max="23" width="15.7109375" style="276" bestFit="1" customWidth="1"/>
    <col min="24" max="24" width="11.140625" style="276" bestFit="1" customWidth="1"/>
    <col min="25" max="25" width="32" style="276" bestFit="1" customWidth="1"/>
    <col min="26" max="26" width="36.85546875" style="276" bestFit="1" customWidth="1"/>
    <col min="27" max="27" width="10.140625" style="276" bestFit="1" customWidth="1"/>
    <col min="28" max="28" width="12.85546875" style="276" bestFit="1" customWidth="1"/>
    <col min="29" max="29" width="8.85546875" style="276" bestFit="1" customWidth="1"/>
    <col min="30" max="30" width="8.28515625" style="276" bestFit="1" customWidth="1"/>
    <col min="31" max="31" width="12.5703125" style="276" bestFit="1" customWidth="1"/>
    <col min="32" max="32" width="15" style="276" bestFit="1" customWidth="1"/>
    <col min="33" max="33" width="7.42578125" style="276" bestFit="1" customWidth="1"/>
    <col min="34" max="34" width="5.7109375" style="276" bestFit="1" customWidth="1"/>
    <col min="35" max="35" width="8.28515625" style="276" bestFit="1" customWidth="1"/>
    <col min="36" max="36" width="11.42578125" style="276" bestFit="1" customWidth="1"/>
    <col min="37" max="37" width="8.28515625" style="276" bestFit="1" customWidth="1"/>
    <col min="38" max="38" width="13" style="276" bestFit="1" customWidth="1"/>
    <col min="39" max="40" width="8.28515625" style="276" bestFit="1" customWidth="1"/>
    <col min="41" max="41" width="9.28515625" style="276" bestFit="1" customWidth="1"/>
    <col min="42" max="42" width="7.140625" style="276" bestFit="1" customWidth="1"/>
    <col min="43" max="43" width="7.42578125" style="276" bestFit="1" customWidth="1"/>
    <col min="44" max="44" width="7.85546875" style="276" bestFit="1" customWidth="1"/>
    <col min="45" max="45" width="7.42578125" style="276" bestFit="1" customWidth="1"/>
    <col min="46" max="46" width="10.140625" style="276" bestFit="1" customWidth="1"/>
    <col min="47" max="47" width="6.42578125" style="276" bestFit="1" customWidth="1"/>
    <col min="48" max="48" width="6.7109375" style="276" bestFit="1" customWidth="1"/>
    <col min="49" max="49" width="11.5703125" style="276" bestFit="1" customWidth="1"/>
    <col min="50" max="50" width="9.5703125" style="276" bestFit="1" customWidth="1"/>
    <col min="51" max="51" width="8.5703125" style="276" bestFit="1" customWidth="1"/>
    <col min="52" max="53" width="16.7109375" style="276" customWidth="1"/>
    <col min="54" max="54" width="58.28515625" style="276" bestFit="1" customWidth="1"/>
    <col min="55" max="55" width="59.140625" style="276" bestFit="1" customWidth="1"/>
    <col min="56" max="56" width="26.42578125" style="276" bestFit="1" customWidth="1"/>
    <col min="57" max="57" width="22.42578125" style="276" bestFit="1" customWidth="1"/>
    <col min="58" max="58" width="58.140625" style="276" bestFit="1" customWidth="1"/>
    <col min="59" max="59" width="48.140625" style="276" bestFit="1" customWidth="1"/>
    <col min="60" max="60" width="17.140625" style="276" bestFit="1" customWidth="1"/>
    <col min="61" max="61" width="42.140625" style="276" bestFit="1" customWidth="1"/>
    <col min="62" max="62" width="15.42578125" style="276" bestFit="1" customWidth="1"/>
    <col min="63" max="63" width="15.42578125" style="281" bestFit="1" customWidth="1"/>
    <col min="64" max="64" width="16.7109375" style="281" customWidth="1"/>
    <col min="65" max="65" width="35.85546875" style="282" bestFit="1" customWidth="1"/>
    <col min="66" max="66" width="20.140625" style="276" bestFit="1" customWidth="1"/>
    <col min="67" max="67" width="18.7109375" style="276" bestFit="1" customWidth="1"/>
    <col min="68" max="69" width="22.42578125" style="276" bestFit="1" customWidth="1"/>
    <col min="70" max="70" width="17.42578125" style="276" bestFit="1" customWidth="1"/>
    <col min="71" max="71" width="17.140625" style="276" bestFit="1" customWidth="1"/>
    <col min="72" max="72" width="16.28515625" style="276" bestFit="1" customWidth="1"/>
    <col min="73" max="73" width="15.42578125" style="276" bestFit="1" customWidth="1"/>
    <col min="74" max="74" width="15.42578125" style="281" bestFit="1" customWidth="1"/>
    <col min="75" max="75" width="16.7109375" style="281" customWidth="1"/>
    <col min="76" max="76" width="58.28515625" style="276" bestFit="1" customWidth="1"/>
    <col min="77" max="77" width="43.5703125" style="276" bestFit="1" customWidth="1"/>
    <col min="78" max="78" width="25.85546875" style="276" bestFit="1" customWidth="1"/>
    <col min="79" max="79" width="22" style="276" bestFit="1" customWidth="1"/>
    <col min="80" max="80" width="34.85546875" style="276" bestFit="1" customWidth="1"/>
    <col min="81" max="81" width="25.42578125" style="276" bestFit="1" customWidth="1"/>
    <col min="82" max="82" width="19.140625" style="281" bestFit="1" customWidth="1"/>
    <col min="83" max="83" width="19.7109375" style="281" bestFit="1" customWidth="1"/>
    <col min="84" max="84" width="19.140625" style="281" bestFit="1" customWidth="1"/>
    <col min="85" max="85" width="12.5703125" style="281" bestFit="1" customWidth="1"/>
    <col min="86" max="86" width="11.7109375" style="281" customWidth="1"/>
    <col min="87" max="16384" width="11.42578125" style="276"/>
  </cols>
  <sheetData>
    <row r="1" spans="1:86" ht="12.75" customHeight="1" x14ac:dyDescent="0.2">
      <c r="A1" s="278"/>
      <c r="B1" s="279"/>
      <c r="Q1" s="280" t="s">
        <v>681</v>
      </c>
      <c r="R1" s="280" t="s">
        <v>682</v>
      </c>
    </row>
    <row r="2" spans="1:86" ht="12.75" customHeight="1" x14ac:dyDescent="0.2">
      <c r="A2" s="276"/>
      <c r="B2" s="276"/>
      <c r="D2" s="278"/>
      <c r="E2" s="279"/>
      <c r="J2" s="366" t="s">
        <v>830</v>
      </c>
      <c r="L2" s="366" t="s">
        <v>108</v>
      </c>
      <c r="M2" s="366" t="s">
        <v>8</v>
      </c>
      <c r="P2" s="280" t="s">
        <v>611</v>
      </c>
      <c r="Q2" s="280">
        <v>3</v>
      </c>
      <c r="R2" s="280">
        <v>18</v>
      </c>
    </row>
    <row r="3" spans="1:86" ht="12.75" customHeight="1" x14ac:dyDescent="0.2">
      <c r="A3" s="284" t="s">
        <v>417</v>
      </c>
      <c r="B3" s="285">
        <v>0.08</v>
      </c>
      <c r="D3" s="278"/>
      <c r="E3" s="279"/>
      <c r="F3" s="410" t="s">
        <v>418</v>
      </c>
      <c r="G3" s="415" t="s">
        <v>888</v>
      </c>
      <c r="J3" s="366" t="s">
        <v>831</v>
      </c>
      <c r="L3" s="366" t="s">
        <v>121</v>
      </c>
      <c r="M3" s="366" t="s">
        <v>9</v>
      </c>
      <c r="P3" s="280" t="s">
        <v>160</v>
      </c>
      <c r="Q3" s="280" t="s">
        <v>383</v>
      </c>
      <c r="R3" s="280" t="s">
        <v>283</v>
      </c>
      <c r="S3" s="280" t="s">
        <v>384</v>
      </c>
      <c r="T3" s="280" t="s">
        <v>284</v>
      </c>
      <c r="U3" s="280" t="s">
        <v>47</v>
      </c>
      <c r="V3" s="280" t="s">
        <v>285</v>
      </c>
      <c r="W3" s="280" t="s">
        <v>189</v>
      </c>
      <c r="X3" s="280" t="s">
        <v>190</v>
      </c>
      <c r="Y3" s="280" t="s">
        <v>297</v>
      </c>
      <c r="Z3" s="280" t="s">
        <v>426</v>
      </c>
      <c r="AA3" s="280" t="s">
        <v>168</v>
      </c>
      <c r="AB3" s="280" t="s">
        <v>169</v>
      </c>
      <c r="AC3" s="280" t="s">
        <v>170</v>
      </c>
      <c r="AD3" s="280" t="s">
        <v>42</v>
      </c>
      <c r="AE3" s="280" t="s">
        <v>43</v>
      </c>
      <c r="AF3" s="280" t="s">
        <v>44</v>
      </c>
      <c r="AG3" s="458" t="s">
        <v>590</v>
      </c>
      <c r="AH3" s="459"/>
      <c r="AI3" s="280" t="s">
        <v>186</v>
      </c>
      <c r="AJ3" s="280" t="s">
        <v>187</v>
      </c>
      <c r="AK3" s="280" t="s">
        <v>188</v>
      </c>
      <c r="AL3" s="280" t="s">
        <v>382</v>
      </c>
      <c r="AM3" s="280" t="s">
        <v>286</v>
      </c>
      <c r="AN3" s="280" t="s">
        <v>30</v>
      </c>
      <c r="AO3" s="280" t="s">
        <v>808</v>
      </c>
      <c r="AP3" s="280" t="s">
        <v>809</v>
      </c>
      <c r="AQ3" s="280" t="s">
        <v>810</v>
      </c>
      <c r="AR3" s="280" t="s">
        <v>811</v>
      </c>
      <c r="AS3" s="280" t="s">
        <v>812</v>
      </c>
      <c r="AT3" s="280" t="s">
        <v>813</v>
      </c>
      <c r="AU3" s="280" t="s">
        <v>816</v>
      </c>
      <c r="AV3" s="280" t="s">
        <v>817</v>
      </c>
      <c r="AW3" s="280" t="s">
        <v>818</v>
      </c>
      <c r="AX3" s="280" t="s">
        <v>819</v>
      </c>
      <c r="AY3" s="280" t="s">
        <v>820</v>
      </c>
      <c r="BC3" s="289" t="s">
        <v>65</v>
      </c>
      <c r="BD3" s="286" t="s">
        <v>459</v>
      </c>
      <c r="BF3" s="283" t="s">
        <v>461</v>
      </c>
      <c r="BG3" s="283" t="s">
        <v>462</v>
      </c>
      <c r="BN3" s="283" t="s">
        <v>320</v>
      </c>
      <c r="BO3" s="283" t="s">
        <v>460</v>
      </c>
      <c r="BP3" s="283" t="s">
        <v>461</v>
      </c>
      <c r="BQ3" s="283" t="s">
        <v>463</v>
      </c>
      <c r="BS3" s="280" t="s">
        <v>597</v>
      </c>
      <c r="BY3" s="283" t="s">
        <v>66</v>
      </c>
      <c r="BZ3" s="283" t="s">
        <v>464</v>
      </c>
      <c r="CA3" s="283" t="s">
        <v>461</v>
      </c>
      <c r="CB3" s="283" t="s">
        <v>462</v>
      </c>
    </row>
    <row r="4" spans="1:86" ht="12.75" customHeight="1" x14ac:dyDescent="0.2">
      <c r="F4" s="412" t="s">
        <v>419</v>
      </c>
      <c r="G4" s="409">
        <v>15</v>
      </c>
      <c r="J4" s="366" t="s">
        <v>832</v>
      </c>
      <c r="M4" s="229"/>
      <c r="P4" s="280" t="s">
        <v>573</v>
      </c>
      <c r="Q4" s="280" t="s">
        <v>573</v>
      </c>
      <c r="R4" s="280" t="s">
        <v>574</v>
      </c>
      <c r="S4" s="280" t="s">
        <v>573</v>
      </c>
      <c r="T4" s="280" t="s">
        <v>574</v>
      </c>
      <c r="U4" s="280" t="s">
        <v>573</v>
      </c>
      <c r="V4" s="280" t="s">
        <v>574</v>
      </c>
      <c r="W4" s="280" t="s">
        <v>574</v>
      </c>
      <c r="X4" s="280" t="s">
        <v>574</v>
      </c>
      <c r="Y4" s="280" t="s">
        <v>587</v>
      </c>
      <c r="Z4" s="280" t="s">
        <v>574</v>
      </c>
      <c r="AA4" s="280" t="s">
        <v>588</v>
      </c>
      <c r="AB4" s="280" t="s">
        <v>588</v>
      </c>
      <c r="AC4" s="280" t="s">
        <v>574</v>
      </c>
      <c r="AD4" s="280" t="s">
        <v>588</v>
      </c>
      <c r="AE4" s="280" t="s">
        <v>589</v>
      </c>
      <c r="AF4" s="280" t="s">
        <v>587</v>
      </c>
      <c r="AG4" s="458" t="s">
        <v>573</v>
      </c>
      <c r="AH4" s="459"/>
      <c r="AI4" s="280" t="s">
        <v>588</v>
      </c>
      <c r="AJ4" s="280" t="s">
        <v>591</v>
      </c>
      <c r="AK4" s="280" t="s">
        <v>574</v>
      </c>
      <c r="AL4" s="280" t="s">
        <v>574</v>
      </c>
      <c r="AM4" s="280" t="s">
        <v>588</v>
      </c>
      <c r="AN4" s="280" t="s">
        <v>588</v>
      </c>
      <c r="AO4" s="280"/>
      <c r="AP4" s="280"/>
      <c r="AQ4" s="280"/>
      <c r="AR4" s="280"/>
      <c r="AS4" s="280"/>
      <c r="AT4" s="280"/>
      <c r="AU4" s="280"/>
      <c r="AV4" s="280"/>
      <c r="AW4" s="280"/>
      <c r="AX4" s="280"/>
      <c r="AY4" s="280"/>
      <c r="BC4" s="289" t="s">
        <v>90</v>
      </c>
      <c r="BD4" s="288"/>
      <c r="BS4" s="280" t="s">
        <v>596</v>
      </c>
      <c r="CA4" s="280" t="s">
        <v>752</v>
      </c>
    </row>
    <row r="5" spans="1:86" ht="12.75" customHeight="1" x14ac:dyDescent="0.2">
      <c r="A5" s="278"/>
      <c r="B5" s="463" t="s">
        <v>412</v>
      </c>
      <c r="C5" s="463"/>
      <c r="D5" s="290" t="s">
        <v>411</v>
      </c>
      <c r="F5" s="278"/>
      <c r="G5" s="278"/>
      <c r="H5" s="288"/>
      <c r="M5" s="283" t="s">
        <v>692</v>
      </c>
      <c r="O5" s="280" t="s">
        <v>599</v>
      </c>
      <c r="P5" s="280">
        <v>150</v>
      </c>
      <c r="Q5" s="280">
        <v>150</v>
      </c>
      <c r="R5" s="280">
        <v>150</v>
      </c>
      <c r="S5" s="280">
        <v>150</v>
      </c>
      <c r="T5" s="280">
        <v>150</v>
      </c>
      <c r="U5" s="280">
        <v>150</v>
      </c>
      <c r="V5" s="280">
        <v>150</v>
      </c>
      <c r="W5" s="280">
        <v>25</v>
      </c>
      <c r="X5" s="280">
        <v>25</v>
      </c>
      <c r="Y5" s="280">
        <v>150</v>
      </c>
      <c r="Z5" s="280">
        <v>4</v>
      </c>
      <c r="AA5" s="280">
        <v>150</v>
      </c>
      <c r="AB5" s="280">
        <v>150</v>
      </c>
      <c r="AC5" s="280">
        <v>220</v>
      </c>
      <c r="AD5" s="280">
        <v>110</v>
      </c>
      <c r="AE5" s="280">
        <v>120</v>
      </c>
      <c r="AF5" s="280">
        <v>900</v>
      </c>
      <c r="AG5" s="458">
        <v>50</v>
      </c>
      <c r="AH5" s="459"/>
      <c r="AI5" s="280">
        <v>150</v>
      </c>
      <c r="AJ5" s="280">
        <v>150</v>
      </c>
      <c r="AK5" s="280">
        <v>150</v>
      </c>
      <c r="AL5" s="280">
        <v>12</v>
      </c>
      <c r="AM5" s="280">
        <v>100</v>
      </c>
      <c r="AN5" s="280">
        <v>150</v>
      </c>
      <c r="AO5" s="280"/>
      <c r="AP5" s="280"/>
      <c r="AQ5" s="280"/>
      <c r="AR5" s="280"/>
      <c r="AS5" s="280"/>
      <c r="AT5" s="280"/>
      <c r="AU5" s="280"/>
      <c r="AV5" s="280"/>
      <c r="AW5" s="280"/>
      <c r="AX5" s="280"/>
      <c r="AY5" s="280"/>
      <c r="BC5" s="289" t="s">
        <v>247</v>
      </c>
      <c r="BD5" s="288"/>
      <c r="BN5" s="284" t="s">
        <v>457</v>
      </c>
      <c r="BO5" s="284" t="s">
        <v>385</v>
      </c>
      <c r="BP5" s="284" t="s">
        <v>381</v>
      </c>
      <c r="BR5" s="280" t="s">
        <v>689</v>
      </c>
      <c r="BT5" s="280" t="s">
        <v>752</v>
      </c>
      <c r="CA5" s="280">
        <v>10</v>
      </c>
    </row>
    <row r="6" spans="1:86" ht="12.75" customHeight="1" x14ac:dyDescent="0.2">
      <c r="A6" s="349" t="s">
        <v>753</v>
      </c>
      <c r="B6" s="341" t="s">
        <v>413</v>
      </c>
      <c r="C6" s="341" t="s">
        <v>414</v>
      </c>
      <c r="D6" s="350" t="s">
        <v>415</v>
      </c>
      <c r="E6" s="348"/>
      <c r="F6" s="349" t="s">
        <v>889</v>
      </c>
      <c r="G6" s="341" t="s">
        <v>891</v>
      </c>
      <c r="H6" s="353" t="s">
        <v>599</v>
      </c>
      <c r="I6" s="310" t="s">
        <v>824</v>
      </c>
      <c r="J6" s="310" t="s">
        <v>598</v>
      </c>
      <c r="K6" s="354" t="s">
        <v>610</v>
      </c>
      <c r="M6" s="280" t="s">
        <v>298</v>
      </c>
      <c r="N6" s="277"/>
      <c r="O6" s="280" t="s">
        <v>683</v>
      </c>
      <c r="P6" s="280"/>
      <c r="Q6" s="280"/>
      <c r="R6" s="280"/>
      <c r="S6" s="280"/>
      <c r="T6" s="280"/>
      <c r="U6" s="280"/>
      <c r="V6" s="280">
        <v>0.35</v>
      </c>
      <c r="W6" s="280">
        <v>0.35</v>
      </c>
      <c r="X6" s="280">
        <v>0.35</v>
      </c>
      <c r="Y6" s="280">
        <v>0.35</v>
      </c>
      <c r="Z6" s="280">
        <v>0.35</v>
      </c>
      <c r="AA6" s="280">
        <v>0.35</v>
      </c>
      <c r="AB6" s="280"/>
      <c r="AC6" s="280"/>
      <c r="AD6" s="280">
        <v>0.35</v>
      </c>
      <c r="AE6" s="280">
        <v>0.35</v>
      </c>
      <c r="AF6" s="280">
        <v>0.35</v>
      </c>
      <c r="AG6" s="458">
        <v>0.35</v>
      </c>
      <c r="AH6" s="459"/>
      <c r="AI6" s="280">
        <v>0.35</v>
      </c>
      <c r="AJ6" s="280">
        <v>0.35</v>
      </c>
      <c r="AK6" s="280">
        <v>0.35</v>
      </c>
      <c r="AL6" s="280">
        <v>0.35</v>
      </c>
      <c r="AM6" s="280">
        <v>0.35</v>
      </c>
      <c r="AN6" s="280">
        <v>0.35</v>
      </c>
      <c r="AO6" s="280"/>
      <c r="AP6" s="280"/>
      <c r="AQ6" s="280"/>
      <c r="AR6" s="280"/>
      <c r="AS6" s="280"/>
      <c r="AT6" s="280"/>
      <c r="AU6" s="280"/>
      <c r="AV6" s="280"/>
      <c r="AW6" s="280"/>
      <c r="AX6" s="280"/>
      <c r="AY6" s="280"/>
      <c r="BD6" s="288"/>
      <c r="BN6" s="284" t="s">
        <v>45</v>
      </c>
      <c r="BO6" s="284">
        <v>25</v>
      </c>
      <c r="BP6" s="284">
        <v>550</v>
      </c>
      <c r="BR6" s="280" t="s">
        <v>47</v>
      </c>
      <c r="BT6" s="280">
        <v>20</v>
      </c>
      <c r="BY6" s="280" t="s">
        <v>465</v>
      </c>
      <c r="BZ6" s="284" t="s">
        <v>385</v>
      </c>
      <c r="CA6" s="284" t="s">
        <v>381</v>
      </c>
      <c r="CB6" s="284" t="s">
        <v>28</v>
      </c>
      <c r="CC6" s="284" t="s">
        <v>29</v>
      </c>
      <c r="CD6" s="291"/>
      <c r="CE6" s="291"/>
      <c r="CF6" s="291"/>
      <c r="CG6" s="291"/>
      <c r="CH6" s="291"/>
    </row>
    <row r="7" spans="1:86" ht="12.75" customHeight="1" x14ac:dyDescent="0.2">
      <c r="A7" s="351" t="s">
        <v>390</v>
      </c>
      <c r="B7" s="280" t="s">
        <v>201</v>
      </c>
      <c r="C7" s="280">
        <v>30</v>
      </c>
      <c r="D7" s="405">
        <v>0.3</v>
      </c>
      <c r="E7" s="293"/>
      <c r="F7" s="351" t="s">
        <v>611</v>
      </c>
      <c r="G7" s="284"/>
      <c r="H7" s="303">
        <v>20000</v>
      </c>
      <c r="I7" s="280">
        <v>0.1</v>
      </c>
      <c r="J7" s="280">
        <v>75</v>
      </c>
      <c r="K7" s="405"/>
      <c r="M7" s="355" t="s">
        <v>251</v>
      </c>
      <c r="N7" s="277"/>
      <c r="O7" s="280" t="s">
        <v>686</v>
      </c>
      <c r="P7" s="280">
        <v>0.4</v>
      </c>
      <c r="Q7" s="280">
        <v>0.4</v>
      </c>
      <c r="R7" s="280">
        <v>0.4</v>
      </c>
      <c r="S7" s="280">
        <v>0.4</v>
      </c>
      <c r="T7" s="280">
        <v>0.4</v>
      </c>
      <c r="U7" s="280">
        <v>0.4</v>
      </c>
      <c r="V7" s="280"/>
      <c r="W7" s="280"/>
      <c r="X7" s="280"/>
      <c r="Y7" s="280"/>
      <c r="Z7" s="280"/>
      <c r="AA7" s="280"/>
      <c r="AB7" s="280">
        <v>0.4</v>
      </c>
      <c r="AC7" s="280">
        <v>0.4</v>
      </c>
      <c r="AD7" s="280"/>
      <c r="AE7" s="280"/>
      <c r="AF7" s="280"/>
      <c r="AG7" s="458"/>
      <c r="AH7" s="459"/>
      <c r="AI7" s="280"/>
      <c r="AJ7" s="280"/>
      <c r="AK7" s="280"/>
      <c r="AL7" s="280"/>
      <c r="AM7" s="280"/>
      <c r="AN7" s="280"/>
      <c r="AO7" s="280"/>
      <c r="AP7" s="280"/>
      <c r="AQ7" s="280"/>
      <c r="AR7" s="280"/>
      <c r="AS7" s="280"/>
      <c r="AT7" s="280"/>
      <c r="AU7" s="280"/>
      <c r="AV7" s="280"/>
      <c r="AW7" s="280"/>
      <c r="AX7" s="280"/>
      <c r="AY7" s="280"/>
      <c r="BC7" s="289" t="s">
        <v>433</v>
      </c>
      <c r="BD7" s="288"/>
      <c r="BN7" s="284" t="s">
        <v>458</v>
      </c>
      <c r="BO7" s="284">
        <v>25</v>
      </c>
      <c r="BP7" s="284">
        <v>550</v>
      </c>
      <c r="BQ7" s="294"/>
      <c r="BR7" s="280" t="s">
        <v>160</v>
      </c>
      <c r="BY7" s="280" t="s">
        <v>203</v>
      </c>
      <c r="BZ7" s="280">
        <v>2.2000000000000002</v>
      </c>
      <c r="CA7" s="280">
        <v>60</v>
      </c>
      <c r="CB7" s="280">
        <v>2.7</v>
      </c>
      <c r="CC7" s="280">
        <v>0</v>
      </c>
      <c r="CD7" s="295"/>
      <c r="CE7" s="295"/>
      <c r="CF7" s="295"/>
      <c r="CG7" s="295"/>
      <c r="CH7" s="295"/>
    </row>
    <row r="8" spans="1:86" ht="12.75" customHeight="1" x14ac:dyDescent="0.2">
      <c r="A8" s="351" t="s">
        <v>553</v>
      </c>
      <c r="B8" s="280" t="s">
        <v>201</v>
      </c>
      <c r="C8" s="280">
        <v>30</v>
      </c>
      <c r="D8" s="405"/>
      <c r="E8" s="293"/>
      <c r="F8" s="351" t="s">
        <v>105</v>
      </c>
      <c r="G8" s="284"/>
      <c r="H8" s="303">
        <v>25</v>
      </c>
      <c r="I8" s="280">
        <v>5.5</v>
      </c>
      <c r="J8" s="280">
        <v>0</v>
      </c>
      <c r="K8" s="405">
        <v>75</v>
      </c>
      <c r="M8" s="355" t="s">
        <v>253</v>
      </c>
      <c r="N8" s="277"/>
      <c r="O8" s="280" t="s">
        <v>687</v>
      </c>
      <c r="P8" s="280">
        <v>0.4</v>
      </c>
      <c r="Q8" s="280">
        <v>0.4</v>
      </c>
      <c r="R8" s="280">
        <v>0.4</v>
      </c>
      <c r="S8" s="280">
        <v>0.4</v>
      </c>
      <c r="T8" s="280">
        <v>0.4</v>
      </c>
      <c r="U8" s="280">
        <v>0.4</v>
      </c>
      <c r="V8" s="280"/>
      <c r="W8" s="280"/>
      <c r="X8" s="280"/>
      <c r="Y8" s="280"/>
      <c r="Z8" s="280"/>
      <c r="AA8" s="280"/>
      <c r="AB8" s="280">
        <v>0.4</v>
      </c>
      <c r="AC8" s="280">
        <v>0.4</v>
      </c>
      <c r="AD8" s="280"/>
      <c r="AE8" s="280"/>
      <c r="AF8" s="280"/>
      <c r="AG8" s="458"/>
      <c r="AH8" s="459"/>
      <c r="AI8" s="280"/>
      <c r="AJ8" s="280"/>
      <c r="AK8" s="280"/>
      <c r="AL8" s="280"/>
      <c r="AM8" s="280"/>
      <c r="AN8" s="280"/>
      <c r="AO8" s="280"/>
      <c r="AP8" s="280"/>
      <c r="AQ8" s="280"/>
      <c r="AR8" s="280"/>
      <c r="AS8" s="280"/>
      <c r="AT8" s="280"/>
      <c r="AU8" s="280"/>
      <c r="AV8" s="280"/>
      <c r="AW8" s="280"/>
      <c r="AX8" s="280"/>
      <c r="AY8" s="280"/>
      <c r="BC8" s="284" t="s">
        <v>457</v>
      </c>
      <c r="BD8" s="284" t="s">
        <v>385</v>
      </c>
      <c r="BE8" s="284" t="s">
        <v>381</v>
      </c>
      <c r="BF8" s="284" t="s">
        <v>28</v>
      </c>
      <c r="BG8" s="283" t="s">
        <v>690</v>
      </c>
      <c r="BI8" s="280" t="s">
        <v>595</v>
      </c>
      <c r="BN8" s="278"/>
      <c r="BO8" s="278"/>
      <c r="BP8" s="278"/>
      <c r="BQ8" s="294"/>
      <c r="BY8" s="280" t="s">
        <v>205</v>
      </c>
      <c r="BZ8" s="280">
        <v>2</v>
      </c>
      <c r="CA8" s="280">
        <v>30</v>
      </c>
      <c r="CB8" s="280">
        <v>2.4</v>
      </c>
      <c r="CC8" s="280">
        <v>2</v>
      </c>
      <c r="CD8" s="295"/>
      <c r="CE8" s="295"/>
      <c r="CF8" s="295"/>
      <c r="CG8" s="295"/>
      <c r="CH8" s="295"/>
    </row>
    <row r="9" spans="1:86" ht="12.75" customHeight="1" x14ac:dyDescent="0.2">
      <c r="A9" s="351" t="s">
        <v>395</v>
      </c>
      <c r="B9" s="280" t="s">
        <v>201</v>
      </c>
      <c r="C9" s="280">
        <v>30</v>
      </c>
      <c r="D9" s="405">
        <v>0.15</v>
      </c>
      <c r="E9" s="293"/>
      <c r="F9" s="351" t="s">
        <v>609</v>
      </c>
      <c r="G9" s="284"/>
      <c r="H9" s="303"/>
      <c r="I9" s="280"/>
      <c r="J9" s="280"/>
      <c r="K9" s="405"/>
      <c r="M9" s="355" t="s">
        <v>252</v>
      </c>
      <c r="N9" s="277"/>
      <c r="O9" s="280" t="s">
        <v>688</v>
      </c>
      <c r="P9" s="280">
        <v>0.35</v>
      </c>
      <c r="Q9" s="280">
        <v>0.35</v>
      </c>
      <c r="R9" s="280">
        <v>0.35</v>
      </c>
      <c r="S9" s="280">
        <v>0.35</v>
      </c>
      <c r="T9" s="280">
        <v>0.35</v>
      </c>
      <c r="U9" s="280">
        <v>0.35</v>
      </c>
      <c r="V9" s="280"/>
      <c r="W9" s="280"/>
      <c r="X9" s="280"/>
      <c r="Y9" s="280"/>
      <c r="Z9" s="280"/>
      <c r="AA9" s="280"/>
      <c r="AB9" s="280">
        <v>0.35</v>
      </c>
      <c r="AC9" s="280">
        <v>0.35</v>
      </c>
      <c r="AD9" s="280"/>
      <c r="AE9" s="280"/>
      <c r="AF9" s="280"/>
      <c r="AG9" s="458"/>
      <c r="AH9" s="459"/>
      <c r="AI9" s="280"/>
      <c r="AJ9" s="280"/>
      <c r="AK9" s="280"/>
      <c r="AL9" s="280"/>
      <c r="AM9" s="280"/>
      <c r="AN9" s="280"/>
      <c r="AO9" s="280">
        <f>AVERAGE(0.51,0.65)</f>
        <v>0.58000000000000007</v>
      </c>
      <c r="AP9" s="280">
        <f>AVERAGE(0.55,0.95)</f>
        <v>0.75</v>
      </c>
      <c r="AQ9" s="280">
        <f>AVERAGE(1.25,1.9)</f>
        <v>1.575</v>
      </c>
      <c r="AR9" s="280">
        <f>AVERAGE(1.9,2.1)</f>
        <v>2</v>
      </c>
      <c r="AS9" s="280">
        <f>AVERAGE(0.9,1.1)</f>
        <v>1</v>
      </c>
      <c r="AT9" s="280">
        <f>AVERAGE(1.2,1.5)</f>
        <v>1.35</v>
      </c>
      <c r="AU9" s="280">
        <f>AVERAGE(3.8,4)</f>
        <v>3.9</v>
      </c>
      <c r="AV9" s="280">
        <f>AVERAGE(4,4.2)</f>
        <v>4.0999999999999996</v>
      </c>
      <c r="AW9" s="280">
        <f>AVERAGE(6.3,6.5)</f>
        <v>6.4</v>
      </c>
      <c r="AX9" s="280">
        <f>AVERAGE(3.8,4)</f>
        <v>3.9</v>
      </c>
      <c r="AY9" s="280">
        <f>AVERAGE(4,4.2)</f>
        <v>4.0999999999999996</v>
      </c>
      <c r="BC9" s="284" t="s">
        <v>202</v>
      </c>
      <c r="BD9" s="284">
        <v>44</v>
      </c>
      <c r="BE9" s="284">
        <v>700</v>
      </c>
      <c r="BF9" s="284">
        <v>28</v>
      </c>
      <c r="BG9" s="280" t="s">
        <v>160</v>
      </c>
      <c r="BH9" s="281"/>
      <c r="BI9" s="280" t="s">
        <v>435</v>
      </c>
      <c r="BM9" s="283" t="s">
        <v>740</v>
      </c>
      <c r="BQ9" s="277"/>
      <c r="BW9" s="295"/>
      <c r="BY9" s="280" t="s">
        <v>206</v>
      </c>
      <c r="BZ9" s="280">
        <v>2.1</v>
      </c>
      <c r="CA9" s="280">
        <v>40</v>
      </c>
      <c r="CB9" s="280">
        <v>2.4</v>
      </c>
      <c r="CC9" s="280">
        <v>0</v>
      </c>
      <c r="CD9" s="295"/>
      <c r="CE9" s="295"/>
      <c r="CF9" s="295"/>
      <c r="CG9" s="295"/>
      <c r="CH9" s="295"/>
    </row>
    <row r="10" spans="1:86" ht="12.75" customHeight="1" x14ac:dyDescent="0.2">
      <c r="A10" s="351" t="s">
        <v>550</v>
      </c>
      <c r="B10" s="280" t="s">
        <v>201</v>
      </c>
      <c r="C10" s="280">
        <v>300</v>
      </c>
      <c r="D10" s="405">
        <v>0.8</v>
      </c>
      <c r="E10" s="293"/>
      <c r="F10" s="355" t="s">
        <v>765</v>
      </c>
      <c r="G10" s="280"/>
      <c r="H10" s="280">
        <v>20</v>
      </c>
      <c r="I10" s="280">
        <v>0.34</v>
      </c>
      <c r="J10" s="280"/>
      <c r="K10" s="405">
        <v>70</v>
      </c>
      <c r="M10" s="355" t="s">
        <v>243</v>
      </c>
      <c r="N10" s="277"/>
      <c r="O10" s="280" t="s">
        <v>684</v>
      </c>
      <c r="P10" s="280">
        <v>100</v>
      </c>
      <c r="Q10" s="280">
        <v>105</v>
      </c>
      <c r="R10" s="280">
        <v>105</v>
      </c>
      <c r="S10" s="280">
        <v>95</v>
      </c>
      <c r="T10" s="280">
        <v>95</v>
      </c>
      <c r="U10" s="280">
        <v>125</v>
      </c>
      <c r="V10" s="280">
        <v>110</v>
      </c>
      <c r="W10" s="280">
        <v>110</v>
      </c>
      <c r="X10" s="280">
        <v>45</v>
      </c>
      <c r="Y10" s="280">
        <v>120</v>
      </c>
      <c r="Z10" s="280">
        <v>220</v>
      </c>
      <c r="AA10" s="280">
        <v>230</v>
      </c>
      <c r="AB10" s="280">
        <v>120</v>
      </c>
      <c r="AC10" s="280">
        <v>145</v>
      </c>
      <c r="AD10" s="280">
        <v>165</v>
      </c>
      <c r="AE10" s="280">
        <v>1300</v>
      </c>
      <c r="AF10" s="280">
        <v>80</v>
      </c>
      <c r="AG10" s="458">
        <v>350</v>
      </c>
      <c r="AH10" s="459"/>
      <c r="AI10" s="280">
        <v>120</v>
      </c>
      <c r="AJ10" s="280">
        <v>195</v>
      </c>
      <c r="AK10" s="280">
        <v>1220</v>
      </c>
      <c r="AL10" s="280">
        <v>50</v>
      </c>
      <c r="AM10" s="280">
        <v>1080</v>
      </c>
      <c r="AN10" s="280">
        <v>4500</v>
      </c>
      <c r="AO10" s="280"/>
      <c r="AP10" s="280"/>
      <c r="AQ10" s="280"/>
      <c r="AR10" s="280"/>
      <c r="AS10" s="280"/>
      <c r="AT10" s="280"/>
      <c r="AU10" s="280"/>
      <c r="AV10" s="280"/>
      <c r="AW10" s="280"/>
      <c r="AX10" s="280"/>
      <c r="AY10" s="280"/>
      <c r="BC10" s="284" t="s">
        <v>204</v>
      </c>
      <c r="BD10" s="284">
        <v>50</v>
      </c>
      <c r="BE10" s="284">
        <v>700</v>
      </c>
      <c r="BF10" s="284">
        <v>25</v>
      </c>
      <c r="BG10" s="280" t="s">
        <v>383</v>
      </c>
      <c r="BH10" s="281"/>
      <c r="BI10" s="280" t="s">
        <v>437</v>
      </c>
      <c r="BM10" s="340" t="s">
        <v>694</v>
      </c>
      <c r="BN10" s="310" t="s">
        <v>709</v>
      </c>
      <c r="BO10" s="341" t="s">
        <v>710</v>
      </c>
      <c r="BP10" s="310" t="s">
        <v>720</v>
      </c>
      <c r="BQ10" s="310" t="s">
        <v>719</v>
      </c>
      <c r="BR10" s="310" t="s">
        <v>718</v>
      </c>
      <c r="BS10" s="310" t="s">
        <v>717</v>
      </c>
      <c r="BT10" s="310" t="s">
        <v>716</v>
      </c>
      <c r="BU10" s="310" t="s">
        <v>715</v>
      </c>
      <c r="BV10" s="342" t="s">
        <v>714</v>
      </c>
      <c r="BY10" s="280" t="s">
        <v>208</v>
      </c>
      <c r="BZ10" s="280">
        <v>2.2000000000000002</v>
      </c>
      <c r="CA10" s="280">
        <v>65</v>
      </c>
      <c r="CB10" s="280">
        <v>2.7</v>
      </c>
      <c r="CC10" s="280">
        <v>0</v>
      </c>
      <c r="CD10" s="295"/>
      <c r="CE10" s="295"/>
      <c r="CF10" s="295"/>
      <c r="CG10" s="295"/>
      <c r="CH10" s="295"/>
    </row>
    <row r="11" spans="1:86" ht="12.75" customHeight="1" x14ac:dyDescent="0.2">
      <c r="A11" s="351" t="s">
        <v>551</v>
      </c>
      <c r="B11" s="280" t="s">
        <v>201</v>
      </c>
      <c r="C11" s="280">
        <v>300</v>
      </c>
      <c r="D11" s="405">
        <v>0.8</v>
      </c>
      <c r="E11" s="293"/>
      <c r="F11" s="355" t="s">
        <v>767</v>
      </c>
      <c r="G11" s="280"/>
      <c r="H11" s="280">
        <v>25</v>
      </c>
      <c r="I11" s="280">
        <v>0.34</v>
      </c>
      <c r="J11" s="280"/>
      <c r="K11" s="405">
        <v>70</v>
      </c>
      <c r="N11" s="277"/>
      <c r="O11" s="280" t="s">
        <v>685</v>
      </c>
      <c r="P11" s="280">
        <v>70</v>
      </c>
      <c r="Q11" s="280">
        <v>70</v>
      </c>
      <c r="R11" s="280">
        <v>70</v>
      </c>
      <c r="S11" s="280">
        <v>70</v>
      </c>
      <c r="T11" s="280">
        <v>70</v>
      </c>
      <c r="U11" s="280">
        <v>70</v>
      </c>
      <c r="V11" s="280"/>
      <c r="W11" s="280"/>
      <c r="X11" s="280"/>
      <c r="Y11" s="280"/>
      <c r="Z11" s="280"/>
      <c r="AA11" s="280"/>
      <c r="AB11" s="280">
        <v>70</v>
      </c>
      <c r="AC11" s="280">
        <v>70</v>
      </c>
      <c r="AD11" s="280"/>
      <c r="AE11" s="280"/>
      <c r="AF11" s="280"/>
      <c r="AG11" s="458">
        <v>120</v>
      </c>
      <c r="AH11" s="459"/>
      <c r="AI11" s="280"/>
      <c r="AJ11" s="280"/>
      <c r="AK11" s="280"/>
      <c r="AL11" s="280"/>
      <c r="AM11" s="280"/>
      <c r="AN11" s="280"/>
      <c r="AO11" s="280"/>
      <c r="AP11" s="280"/>
      <c r="AQ11" s="280"/>
      <c r="AR11" s="280"/>
      <c r="AS11" s="280"/>
      <c r="AT11" s="280"/>
      <c r="AU11" s="280"/>
      <c r="AV11" s="280"/>
      <c r="AW11" s="280"/>
      <c r="AX11" s="280"/>
      <c r="AY11" s="280"/>
      <c r="BC11" s="284" t="s">
        <v>314</v>
      </c>
      <c r="BD11" s="284">
        <v>43</v>
      </c>
      <c r="BE11" s="284">
        <v>750</v>
      </c>
      <c r="BF11" s="284">
        <v>28</v>
      </c>
      <c r="BG11" s="280" t="s">
        <v>47</v>
      </c>
      <c r="BH11" s="281"/>
      <c r="BI11" s="280" t="s">
        <v>438</v>
      </c>
      <c r="BM11" s="343" t="s">
        <v>596</v>
      </c>
      <c r="BN11" s="280" t="s">
        <v>434</v>
      </c>
      <c r="BO11" s="344" t="s">
        <v>735</v>
      </c>
      <c r="BP11" s="280">
        <v>65</v>
      </c>
      <c r="BQ11" s="280">
        <v>52</v>
      </c>
      <c r="BR11" s="280">
        <v>39</v>
      </c>
      <c r="BS11" s="280">
        <v>32.5</v>
      </c>
      <c r="BT11" s="280">
        <v>26</v>
      </c>
      <c r="BU11" s="280">
        <v>13</v>
      </c>
      <c r="BV11" s="345">
        <v>0</v>
      </c>
      <c r="BY11" s="280" t="s">
        <v>70</v>
      </c>
      <c r="BZ11" s="280">
        <v>2.2999999999999998</v>
      </c>
      <c r="CA11" s="280">
        <v>65</v>
      </c>
      <c r="CB11" s="280">
        <v>2.7</v>
      </c>
      <c r="CC11" s="280">
        <v>0</v>
      </c>
      <c r="CD11" s="295"/>
      <c r="CE11" s="295"/>
      <c r="CF11" s="295"/>
      <c r="CG11" s="295"/>
      <c r="CH11" s="295"/>
    </row>
    <row r="12" spans="1:86" ht="12.75" customHeight="1" x14ac:dyDescent="0.2">
      <c r="A12" s="351" t="s">
        <v>552</v>
      </c>
      <c r="B12" s="280" t="s">
        <v>201</v>
      </c>
      <c r="C12" s="280">
        <v>300</v>
      </c>
      <c r="D12" s="405">
        <v>0.8</v>
      </c>
      <c r="E12" s="293"/>
      <c r="F12" s="355" t="s">
        <v>769</v>
      </c>
      <c r="G12" s="280"/>
      <c r="H12" s="280">
        <v>20</v>
      </c>
      <c r="I12" s="280">
        <v>0.34</v>
      </c>
      <c r="J12" s="280"/>
      <c r="K12" s="405">
        <v>70</v>
      </c>
      <c r="N12" s="277"/>
      <c r="O12" s="298" t="s">
        <v>575</v>
      </c>
      <c r="P12" s="299"/>
      <c r="Q12" s="300"/>
      <c r="R12" s="300"/>
      <c r="S12" s="300"/>
      <c r="T12" s="300"/>
      <c r="U12" s="300"/>
      <c r="V12" s="300"/>
      <c r="W12" s="300"/>
      <c r="X12" s="300"/>
      <c r="Y12" s="300"/>
      <c r="Z12" s="300"/>
      <c r="AA12" s="300"/>
      <c r="AB12" s="300"/>
      <c r="AC12" s="300"/>
      <c r="AD12" s="300"/>
      <c r="AE12" s="300"/>
      <c r="AF12" s="300"/>
      <c r="AG12" s="301" t="s">
        <v>616</v>
      </c>
      <c r="AH12" s="301" t="s">
        <v>316</v>
      </c>
      <c r="AI12" s="300"/>
      <c r="AJ12" s="300"/>
      <c r="AK12" s="300"/>
      <c r="AL12" s="300"/>
      <c r="AM12" s="300"/>
      <c r="AN12" s="300"/>
      <c r="AO12" s="300"/>
      <c r="AP12" s="277"/>
      <c r="AQ12" s="277"/>
      <c r="AR12" s="277"/>
      <c r="AS12" s="277"/>
      <c r="AT12" s="277"/>
      <c r="AU12" s="277"/>
      <c r="AV12" s="277"/>
      <c r="AW12" s="277"/>
      <c r="AX12" s="277"/>
      <c r="AY12" s="277"/>
      <c r="BC12" s="284" t="s">
        <v>69</v>
      </c>
      <c r="BD12" s="284">
        <v>35</v>
      </c>
      <c r="BE12" s="284">
        <v>680</v>
      </c>
      <c r="BF12" s="284">
        <v>14</v>
      </c>
      <c r="BH12" s="281"/>
      <c r="BI12" s="280" t="s">
        <v>440</v>
      </c>
      <c r="BM12" s="343" t="s">
        <v>596</v>
      </c>
      <c r="BN12" s="280" t="s">
        <v>124</v>
      </c>
      <c r="BO12" s="280" t="s">
        <v>711</v>
      </c>
      <c r="BP12" s="280">
        <v>40</v>
      </c>
      <c r="BQ12" s="280">
        <v>32</v>
      </c>
      <c r="BR12" s="280">
        <v>24</v>
      </c>
      <c r="BS12" s="280">
        <v>20</v>
      </c>
      <c r="BT12" s="280">
        <v>16</v>
      </c>
      <c r="BU12" s="280">
        <v>8</v>
      </c>
      <c r="BV12" s="345">
        <v>0</v>
      </c>
      <c r="BY12" s="280" t="s">
        <v>72</v>
      </c>
      <c r="BZ12" s="280">
        <v>2.4</v>
      </c>
      <c r="CA12" s="280">
        <v>70</v>
      </c>
      <c r="CB12" s="280">
        <v>2.7</v>
      </c>
      <c r="CC12" s="280">
        <v>0</v>
      </c>
      <c r="CD12" s="295"/>
      <c r="CE12" s="295"/>
      <c r="CF12" s="295"/>
      <c r="CG12" s="295"/>
      <c r="CH12" s="295"/>
    </row>
    <row r="13" spans="1:86" ht="12.75" customHeight="1" x14ac:dyDescent="0.2">
      <c r="A13" s="351" t="s">
        <v>406</v>
      </c>
      <c r="B13" s="280" t="s">
        <v>201</v>
      </c>
      <c r="C13" s="280">
        <v>60</v>
      </c>
      <c r="D13" s="405">
        <v>0.84</v>
      </c>
      <c r="E13" s="293"/>
      <c r="F13" s="355" t="s">
        <v>770</v>
      </c>
      <c r="G13" s="280"/>
      <c r="H13" s="280">
        <v>20</v>
      </c>
      <c r="I13" s="280">
        <v>0.34</v>
      </c>
      <c r="J13" s="280"/>
      <c r="K13" s="405">
        <v>70</v>
      </c>
      <c r="N13" s="277"/>
      <c r="O13" s="280" t="s">
        <v>35</v>
      </c>
      <c r="P13" s="280">
        <v>0</v>
      </c>
      <c r="Q13" s="280">
        <v>0</v>
      </c>
      <c r="R13" s="280">
        <v>0</v>
      </c>
      <c r="S13" s="280">
        <v>2.2999999999999998</v>
      </c>
      <c r="T13" s="280">
        <v>2.4</v>
      </c>
      <c r="U13" s="280">
        <v>0</v>
      </c>
      <c r="V13" s="280">
        <v>0</v>
      </c>
      <c r="W13" s="280">
        <v>0</v>
      </c>
      <c r="X13" s="280">
        <v>11.5</v>
      </c>
      <c r="Y13" s="280">
        <v>0</v>
      </c>
      <c r="Z13" s="280">
        <v>0</v>
      </c>
      <c r="AA13" s="280">
        <v>0</v>
      </c>
      <c r="AB13" s="280">
        <v>0</v>
      </c>
      <c r="AC13" s="280">
        <v>0</v>
      </c>
      <c r="AD13" s="280">
        <v>0</v>
      </c>
      <c r="AE13" s="280">
        <v>0</v>
      </c>
      <c r="AF13" s="280">
        <v>21</v>
      </c>
      <c r="AG13" s="280">
        <v>0</v>
      </c>
      <c r="AH13" s="280">
        <v>0</v>
      </c>
      <c r="AI13" s="280">
        <v>0</v>
      </c>
      <c r="AJ13" s="280">
        <v>0</v>
      </c>
      <c r="AK13" s="280">
        <v>0</v>
      </c>
      <c r="AL13" s="280">
        <v>0</v>
      </c>
      <c r="AM13" s="280">
        <v>0</v>
      </c>
      <c r="AN13" s="280">
        <v>0</v>
      </c>
      <c r="AO13" s="280">
        <v>0</v>
      </c>
      <c r="AP13" s="280">
        <v>0</v>
      </c>
      <c r="AQ13" s="280">
        <v>0</v>
      </c>
      <c r="AR13" s="280">
        <v>0</v>
      </c>
      <c r="AS13" s="280">
        <v>0</v>
      </c>
      <c r="AT13" s="280">
        <v>0</v>
      </c>
      <c r="AU13" s="280">
        <v>0</v>
      </c>
      <c r="AV13" s="280">
        <v>0</v>
      </c>
      <c r="AW13" s="280">
        <v>8.5</v>
      </c>
      <c r="AX13" s="280">
        <v>10</v>
      </c>
      <c r="AY13" s="280">
        <v>10</v>
      </c>
      <c r="BC13" s="284" t="s">
        <v>71</v>
      </c>
      <c r="BD13" s="284">
        <v>35</v>
      </c>
      <c r="BE13" s="284">
        <v>650</v>
      </c>
      <c r="BF13" s="284">
        <v>26</v>
      </c>
      <c r="BH13" s="281"/>
      <c r="BI13" s="280" t="s">
        <v>741</v>
      </c>
      <c r="BM13" s="343" t="s">
        <v>596</v>
      </c>
      <c r="BN13" s="280" t="s">
        <v>160</v>
      </c>
      <c r="BO13" s="280" t="s">
        <v>712</v>
      </c>
      <c r="BP13" s="280">
        <v>6</v>
      </c>
      <c r="BQ13" s="280">
        <v>4.8</v>
      </c>
      <c r="BR13" s="280">
        <v>3.6</v>
      </c>
      <c r="BS13" s="280">
        <v>3</v>
      </c>
      <c r="BT13" s="280">
        <v>2.4</v>
      </c>
      <c r="BU13" s="280">
        <v>1.2</v>
      </c>
      <c r="BV13" s="345">
        <v>0</v>
      </c>
      <c r="BY13" s="280" t="s">
        <v>467</v>
      </c>
      <c r="BZ13" s="280">
        <v>2.2000000000000002</v>
      </c>
      <c r="CA13" s="280">
        <v>50</v>
      </c>
      <c r="CB13" s="280">
        <v>1.7</v>
      </c>
      <c r="CC13" s="280">
        <v>0</v>
      </c>
      <c r="CD13" s="295"/>
      <c r="CE13" s="295"/>
      <c r="CF13" s="295"/>
      <c r="CG13" s="295"/>
      <c r="CH13" s="295"/>
    </row>
    <row r="14" spans="1:86" ht="12.75" customHeight="1" x14ac:dyDescent="0.2">
      <c r="A14" s="351" t="s">
        <v>407</v>
      </c>
      <c r="B14" s="280" t="s">
        <v>201</v>
      </c>
      <c r="C14" s="280">
        <v>50</v>
      </c>
      <c r="D14" s="405">
        <v>0.22</v>
      </c>
      <c r="E14" s="293"/>
      <c r="F14" s="355" t="s">
        <v>771</v>
      </c>
      <c r="G14" s="280"/>
      <c r="H14" s="280">
        <v>7</v>
      </c>
      <c r="I14" s="280">
        <v>0.34</v>
      </c>
      <c r="J14" s="280"/>
      <c r="K14" s="405">
        <v>70</v>
      </c>
      <c r="N14" s="277"/>
      <c r="O14" s="280" t="s">
        <v>576</v>
      </c>
      <c r="P14" s="280">
        <v>3.3</v>
      </c>
      <c r="Q14" s="280">
        <v>3.3</v>
      </c>
      <c r="R14" s="280">
        <v>3.3</v>
      </c>
      <c r="S14" s="280">
        <v>2.9</v>
      </c>
      <c r="T14" s="280">
        <v>2.9</v>
      </c>
      <c r="U14" s="280">
        <v>0</v>
      </c>
      <c r="V14" s="280">
        <v>0</v>
      </c>
      <c r="W14" s="280">
        <v>4.7</v>
      </c>
      <c r="X14" s="280">
        <v>10.7</v>
      </c>
      <c r="Y14" s="280">
        <v>0</v>
      </c>
      <c r="Z14" s="280">
        <v>0</v>
      </c>
      <c r="AA14" s="280">
        <v>0</v>
      </c>
      <c r="AB14" s="280">
        <v>0</v>
      </c>
      <c r="AC14" s="280">
        <v>0</v>
      </c>
      <c r="AD14" s="280">
        <v>0</v>
      </c>
      <c r="AE14" s="280">
        <v>0</v>
      </c>
      <c r="AF14" s="280">
        <v>32</v>
      </c>
      <c r="AG14" s="280">
        <v>0</v>
      </c>
      <c r="AH14" s="280">
        <v>0</v>
      </c>
      <c r="AI14" s="280">
        <v>0</v>
      </c>
      <c r="AJ14" s="280">
        <v>0</v>
      </c>
      <c r="AK14" s="280">
        <v>0</v>
      </c>
      <c r="AL14" s="280">
        <v>0</v>
      </c>
      <c r="AM14" s="280">
        <v>0</v>
      </c>
      <c r="AN14" s="280">
        <v>0</v>
      </c>
      <c r="AO14" s="280">
        <v>0</v>
      </c>
      <c r="AP14" s="280">
        <v>0</v>
      </c>
      <c r="AQ14" s="280">
        <v>0</v>
      </c>
      <c r="AR14" s="280">
        <v>0</v>
      </c>
      <c r="AS14" s="280">
        <v>0</v>
      </c>
      <c r="AT14" s="280">
        <v>0</v>
      </c>
      <c r="AU14" s="280">
        <v>0</v>
      </c>
      <c r="AV14" s="280">
        <v>0</v>
      </c>
      <c r="AW14" s="280">
        <v>8.5</v>
      </c>
      <c r="AX14" s="280">
        <v>10</v>
      </c>
      <c r="AY14" s="280">
        <v>10</v>
      </c>
      <c r="BC14" s="284" t="s">
        <v>73</v>
      </c>
      <c r="BD14" s="284">
        <v>35</v>
      </c>
      <c r="BE14" s="284">
        <v>600</v>
      </c>
      <c r="BF14" s="284">
        <v>14</v>
      </c>
      <c r="BG14" s="283" t="s">
        <v>691</v>
      </c>
      <c r="BH14" s="281"/>
      <c r="BI14" s="280" t="s">
        <v>442</v>
      </c>
      <c r="BM14" s="343" t="s">
        <v>596</v>
      </c>
      <c r="BN14" s="280" t="s">
        <v>47</v>
      </c>
      <c r="BO14" s="280" t="s">
        <v>712</v>
      </c>
      <c r="BP14" s="280">
        <v>6</v>
      </c>
      <c r="BQ14" s="280">
        <v>4.8</v>
      </c>
      <c r="BR14" s="280">
        <v>3.6</v>
      </c>
      <c r="BS14" s="280">
        <v>3</v>
      </c>
      <c r="BT14" s="280">
        <v>2.4</v>
      </c>
      <c r="BU14" s="280">
        <v>1.2</v>
      </c>
      <c r="BV14" s="345">
        <v>0</v>
      </c>
      <c r="BY14" s="280" t="s">
        <v>466</v>
      </c>
      <c r="BZ14" s="280">
        <v>2.4</v>
      </c>
      <c r="CA14" s="280">
        <v>70</v>
      </c>
      <c r="CB14" s="280">
        <v>2.7</v>
      </c>
      <c r="CC14" s="280">
        <v>0</v>
      </c>
      <c r="CD14" s="295"/>
      <c r="CE14" s="295"/>
      <c r="CF14" s="295"/>
      <c r="CG14" s="295"/>
      <c r="CH14" s="295"/>
    </row>
    <row r="15" spans="1:86" ht="12.75" customHeight="1" x14ac:dyDescent="0.2">
      <c r="A15" s="351" t="s">
        <v>408</v>
      </c>
      <c r="B15" s="280" t="s">
        <v>201</v>
      </c>
      <c r="C15" s="280">
        <v>50</v>
      </c>
      <c r="D15" s="405">
        <v>0.22</v>
      </c>
      <c r="E15" s="293"/>
      <c r="F15" s="355" t="s">
        <v>772</v>
      </c>
      <c r="G15" s="280"/>
      <c r="H15" s="280">
        <v>50</v>
      </c>
      <c r="I15" s="280">
        <v>0.34</v>
      </c>
      <c r="J15" s="280"/>
      <c r="K15" s="405">
        <v>70</v>
      </c>
      <c r="N15" s="277"/>
      <c r="O15" s="280" t="s">
        <v>577</v>
      </c>
      <c r="P15" s="280">
        <v>4.3</v>
      </c>
      <c r="Q15" s="280">
        <v>3.2</v>
      </c>
      <c r="R15" s="280">
        <v>3.1</v>
      </c>
      <c r="S15" s="280">
        <v>2.6</v>
      </c>
      <c r="T15" s="280">
        <v>2.7</v>
      </c>
      <c r="U15" s="280">
        <v>0</v>
      </c>
      <c r="V15" s="280">
        <v>0</v>
      </c>
      <c r="W15" s="280">
        <v>5.0999999999999996</v>
      </c>
      <c r="X15" s="280">
        <v>12.2</v>
      </c>
      <c r="Y15" s="280">
        <v>0</v>
      </c>
      <c r="Z15" s="280">
        <v>0</v>
      </c>
      <c r="AA15" s="280">
        <v>1.2</v>
      </c>
      <c r="AB15" s="280">
        <v>0</v>
      </c>
      <c r="AC15" s="280">
        <v>0</v>
      </c>
      <c r="AD15" s="280">
        <v>0</v>
      </c>
      <c r="AE15" s="280">
        <v>0</v>
      </c>
      <c r="AF15" s="280">
        <v>29</v>
      </c>
      <c r="AG15" s="280">
        <v>0</v>
      </c>
      <c r="AH15" s="280">
        <v>0</v>
      </c>
      <c r="AI15" s="280">
        <v>0</v>
      </c>
      <c r="AJ15" s="280">
        <v>12</v>
      </c>
      <c r="AK15" s="280">
        <v>0</v>
      </c>
      <c r="AL15" s="280">
        <v>0</v>
      </c>
      <c r="AM15" s="280">
        <v>0</v>
      </c>
      <c r="AN15" s="280">
        <v>0</v>
      </c>
      <c r="AO15" s="280">
        <v>15</v>
      </c>
      <c r="AP15" s="280">
        <v>13</v>
      </c>
      <c r="AQ15" s="280">
        <v>0</v>
      </c>
      <c r="AR15" s="280">
        <v>0</v>
      </c>
      <c r="AS15" s="280">
        <v>5</v>
      </c>
      <c r="AT15" s="280">
        <v>0</v>
      </c>
      <c r="AU15" s="280">
        <v>0</v>
      </c>
      <c r="AV15" s="280">
        <v>0</v>
      </c>
      <c r="AW15" s="280">
        <v>8.5</v>
      </c>
      <c r="AX15" s="280">
        <v>10</v>
      </c>
      <c r="AY15" s="280">
        <v>10</v>
      </c>
      <c r="BC15" s="284" t="s">
        <v>91</v>
      </c>
      <c r="BD15" s="284">
        <v>44</v>
      </c>
      <c r="BE15" s="284">
        <v>750</v>
      </c>
      <c r="BF15" s="284">
        <v>18</v>
      </c>
      <c r="BG15" s="280" t="str">
        <f>IF(OR(ChoixPaysPartie=France,ChoixPaysPartie=Belgique,ChoixPaysPartie=Suisse),"Tourteau de Colza","Canola")</f>
        <v>Tourteau de Colza</v>
      </c>
      <c r="BH15" s="281"/>
      <c r="BI15" s="280" t="s">
        <v>443</v>
      </c>
      <c r="BM15" s="343" t="s">
        <v>596</v>
      </c>
      <c r="BN15" s="280" t="s">
        <v>383</v>
      </c>
      <c r="BO15" s="280" t="s">
        <v>711</v>
      </c>
      <c r="BP15" s="280">
        <v>6</v>
      </c>
      <c r="BQ15" s="280">
        <v>4.8</v>
      </c>
      <c r="BR15" s="280">
        <v>3.6</v>
      </c>
      <c r="BS15" s="280">
        <v>3</v>
      </c>
      <c r="BT15" s="280">
        <v>2.4</v>
      </c>
      <c r="BU15" s="280">
        <v>1.2</v>
      </c>
      <c r="BV15" s="345">
        <v>0</v>
      </c>
    </row>
    <row r="16" spans="1:86" ht="12.75" customHeight="1" x14ac:dyDescent="0.2">
      <c r="A16" s="351" t="s">
        <v>409</v>
      </c>
      <c r="B16" s="280" t="s">
        <v>201</v>
      </c>
      <c r="C16" s="280">
        <v>50</v>
      </c>
      <c r="D16" s="405">
        <v>0.52</v>
      </c>
      <c r="E16" s="293"/>
      <c r="F16" s="355" t="s">
        <v>822</v>
      </c>
      <c r="G16" s="280"/>
      <c r="H16" s="280">
        <v>20</v>
      </c>
      <c r="I16" s="280">
        <v>0.34</v>
      </c>
      <c r="J16" s="280"/>
      <c r="K16" s="405">
        <v>70</v>
      </c>
      <c r="M16" s="366" t="s">
        <v>122</v>
      </c>
      <c r="N16" s="277"/>
      <c r="O16" s="280" t="s">
        <v>578</v>
      </c>
      <c r="P16" s="280">
        <v>3.2</v>
      </c>
      <c r="Q16" s="280">
        <v>3.2</v>
      </c>
      <c r="R16" s="280">
        <v>3</v>
      </c>
      <c r="S16" s="280">
        <v>2.6</v>
      </c>
      <c r="T16" s="280">
        <v>2.7</v>
      </c>
      <c r="U16" s="280">
        <v>0</v>
      </c>
      <c r="V16" s="280">
        <v>0</v>
      </c>
      <c r="W16" s="280">
        <v>4.3</v>
      </c>
      <c r="X16" s="280">
        <v>11.3</v>
      </c>
      <c r="Y16" s="280">
        <v>0</v>
      </c>
      <c r="Z16" s="280">
        <v>2</v>
      </c>
      <c r="AA16" s="280">
        <v>0</v>
      </c>
      <c r="AB16" s="280">
        <v>0</v>
      </c>
      <c r="AC16" s="280">
        <v>0</v>
      </c>
      <c r="AD16" s="280">
        <v>0</v>
      </c>
      <c r="AE16" s="280">
        <v>0</v>
      </c>
      <c r="AF16" s="280">
        <v>33</v>
      </c>
      <c r="AG16" s="280">
        <v>0</v>
      </c>
      <c r="AH16" s="280">
        <v>0</v>
      </c>
      <c r="AI16" s="280">
        <v>0</v>
      </c>
      <c r="AJ16" s="280">
        <v>10</v>
      </c>
      <c r="AK16" s="280">
        <v>0</v>
      </c>
      <c r="AL16" s="280">
        <v>0</v>
      </c>
      <c r="AM16" s="280">
        <v>0</v>
      </c>
      <c r="AN16" s="280">
        <v>0</v>
      </c>
      <c r="AO16" s="280">
        <v>11</v>
      </c>
      <c r="AP16" s="280">
        <v>0</v>
      </c>
      <c r="AQ16" s="280">
        <v>0</v>
      </c>
      <c r="AR16" s="280">
        <v>0</v>
      </c>
      <c r="AS16" s="280">
        <v>0</v>
      </c>
      <c r="AT16" s="280">
        <v>0</v>
      </c>
      <c r="AU16" s="280">
        <v>0</v>
      </c>
      <c r="AV16" s="280">
        <v>0</v>
      </c>
      <c r="AW16" s="280">
        <v>8.5</v>
      </c>
      <c r="AX16" s="280">
        <v>10</v>
      </c>
      <c r="AY16" s="280">
        <v>10</v>
      </c>
      <c r="BC16" s="284" t="s">
        <v>386</v>
      </c>
      <c r="BD16" s="284">
        <v>35</v>
      </c>
      <c r="BE16" s="284">
        <v>650</v>
      </c>
      <c r="BF16" s="284">
        <v>26</v>
      </c>
      <c r="BG16" s="280" t="s">
        <v>42</v>
      </c>
      <c r="BH16" s="281"/>
      <c r="BI16" s="280" t="s">
        <v>442</v>
      </c>
      <c r="BM16" s="343" t="s">
        <v>596</v>
      </c>
      <c r="BN16" s="280" t="s">
        <v>384</v>
      </c>
      <c r="BO16" s="280" t="s">
        <v>711</v>
      </c>
      <c r="BP16" s="280">
        <v>6</v>
      </c>
      <c r="BQ16" s="280">
        <v>4.8</v>
      </c>
      <c r="BR16" s="280">
        <v>3.6</v>
      </c>
      <c r="BS16" s="280">
        <v>3</v>
      </c>
      <c r="BT16" s="280">
        <v>2.4</v>
      </c>
      <c r="BU16" s="280">
        <v>1.2</v>
      </c>
      <c r="BV16" s="345">
        <v>0</v>
      </c>
      <c r="BY16" s="283" t="s">
        <v>427</v>
      </c>
      <c r="CA16" s="405" t="s">
        <v>693</v>
      </c>
      <c r="CB16" s="280" t="s">
        <v>597</v>
      </c>
    </row>
    <row r="17" spans="1:81" ht="12.75" customHeight="1" x14ac:dyDescent="0.2">
      <c r="A17" s="351" t="s">
        <v>539</v>
      </c>
      <c r="B17" s="280" t="s">
        <v>201</v>
      </c>
      <c r="C17" s="280">
        <v>60</v>
      </c>
      <c r="D17" s="405">
        <v>0.3</v>
      </c>
      <c r="E17" s="293"/>
      <c r="F17" s="358" t="s">
        <v>823</v>
      </c>
      <c r="G17" s="298"/>
      <c r="H17" s="298">
        <v>20</v>
      </c>
      <c r="I17" s="298">
        <v>0.34</v>
      </c>
      <c r="J17" s="298"/>
      <c r="K17" s="406">
        <v>70</v>
      </c>
      <c r="M17" s="366" t="s">
        <v>320</v>
      </c>
      <c r="N17" s="277"/>
      <c r="O17" s="280" t="s">
        <v>229</v>
      </c>
      <c r="P17" s="280">
        <v>3.1</v>
      </c>
      <c r="Q17" s="280">
        <v>3.1</v>
      </c>
      <c r="R17" s="280">
        <v>3.2</v>
      </c>
      <c r="S17" s="280">
        <v>2.6</v>
      </c>
      <c r="T17" s="280">
        <v>2.2000000000000002</v>
      </c>
      <c r="U17" s="280">
        <v>2.5</v>
      </c>
      <c r="V17" s="280">
        <v>2.6</v>
      </c>
      <c r="W17" s="280">
        <v>7.6</v>
      </c>
      <c r="X17" s="280">
        <v>11.4</v>
      </c>
      <c r="Y17" s="280">
        <v>0</v>
      </c>
      <c r="Z17" s="280">
        <v>2.2000000000000002</v>
      </c>
      <c r="AA17" s="280">
        <v>1.3</v>
      </c>
      <c r="AB17" s="280">
        <v>0</v>
      </c>
      <c r="AC17" s="280">
        <v>0</v>
      </c>
      <c r="AD17" s="280">
        <v>2.9</v>
      </c>
      <c r="AE17" s="280">
        <v>0</v>
      </c>
      <c r="AF17" s="280">
        <v>31</v>
      </c>
      <c r="AG17" s="280">
        <v>0.8</v>
      </c>
      <c r="AH17" s="280">
        <v>7</v>
      </c>
      <c r="AI17" s="280">
        <v>13</v>
      </c>
      <c r="AJ17" s="280">
        <v>10</v>
      </c>
      <c r="AK17" s="280">
        <v>1.2</v>
      </c>
      <c r="AL17" s="280">
        <v>0</v>
      </c>
      <c r="AM17" s="280">
        <v>0</v>
      </c>
      <c r="AN17" s="280">
        <v>0</v>
      </c>
      <c r="AO17" s="280">
        <v>13</v>
      </c>
      <c r="AP17" s="280">
        <v>0</v>
      </c>
      <c r="AQ17" s="280">
        <v>0</v>
      </c>
      <c r="AR17" s="280">
        <v>0</v>
      </c>
      <c r="AS17" s="280">
        <v>7</v>
      </c>
      <c r="AT17" s="280">
        <v>0</v>
      </c>
      <c r="AU17" s="280">
        <v>0</v>
      </c>
      <c r="AV17" s="280">
        <v>0</v>
      </c>
      <c r="AW17" s="280">
        <v>8.5</v>
      </c>
      <c r="AX17" s="280">
        <v>10</v>
      </c>
      <c r="AY17" s="280">
        <v>10</v>
      </c>
      <c r="BC17" s="284" t="s">
        <v>387</v>
      </c>
      <c r="BD17" s="284">
        <v>20</v>
      </c>
      <c r="BE17" s="284">
        <v>450</v>
      </c>
      <c r="BF17" s="284">
        <v>18</v>
      </c>
      <c r="BI17" s="280" t="s">
        <v>742</v>
      </c>
      <c r="BM17" s="343" t="s">
        <v>596</v>
      </c>
      <c r="BN17" s="280" t="s">
        <v>732</v>
      </c>
      <c r="BO17" s="280" t="s">
        <v>711</v>
      </c>
      <c r="BP17" s="280">
        <v>6</v>
      </c>
      <c r="BQ17" s="280">
        <v>4.8</v>
      </c>
      <c r="BR17" s="280">
        <v>3.6</v>
      </c>
      <c r="BS17" s="280">
        <v>3</v>
      </c>
      <c r="BT17" s="280">
        <v>2.4</v>
      </c>
      <c r="BU17" s="280">
        <v>1.2</v>
      </c>
      <c r="BV17" s="345">
        <v>0</v>
      </c>
      <c r="BY17" s="280" t="s">
        <v>468</v>
      </c>
      <c r="BZ17" s="405">
        <v>68</v>
      </c>
      <c r="CA17" s="405" t="s">
        <v>47</v>
      </c>
      <c r="CB17" s="280" t="s">
        <v>473</v>
      </c>
    </row>
    <row r="18" spans="1:81" ht="12.75" customHeight="1" x14ac:dyDescent="0.2">
      <c r="A18" s="351" t="s">
        <v>541</v>
      </c>
      <c r="B18" s="280" t="s">
        <v>201</v>
      </c>
      <c r="C18" s="280">
        <v>60</v>
      </c>
      <c r="D18" s="405">
        <v>0.3</v>
      </c>
      <c r="E18" s="293"/>
      <c r="F18" s="278"/>
      <c r="G18" s="278"/>
      <c r="H18" s="279"/>
      <c r="M18" s="366" t="s">
        <v>109</v>
      </c>
      <c r="N18" s="277"/>
      <c r="O18" s="280" t="s">
        <v>230</v>
      </c>
      <c r="P18" s="280">
        <v>5.2</v>
      </c>
      <c r="Q18" s="280">
        <v>3.4</v>
      </c>
      <c r="R18" s="280">
        <v>3.3</v>
      </c>
      <c r="S18" s="280">
        <v>2.8</v>
      </c>
      <c r="T18" s="280">
        <v>2.8</v>
      </c>
      <c r="U18" s="280">
        <v>3.9</v>
      </c>
      <c r="V18" s="280">
        <v>2.6</v>
      </c>
      <c r="W18" s="280">
        <v>8</v>
      </c>
      <c r="X18" s="280">
        <v>11.1</v>
      </c>
      <c r="Y18" s="280">
        <v>0</v>
      </c>
      <c r="Z18" s="280">
        <v>2.2999999999999998</v>
      </c>
      <c r="AA18" s="280">
        <v>1.5</v>
      </c>
      <c r="AB18" s="280">
        <v>0</v>
      </c>
      <c r="AC18" s="280">
        <v>0</v>
      </c>
      <c r="AD18" s="280">
        <v>3.1</v>
      </c>
      <c r="AE18" s="280">
        <v>0</v>
      </c>
      <c r="AF18" s="280">
        <v>24</v>
      </c>
      <c r="AG18" s="280">
        <v>0.8</v>
      </c>
      <c r="AH18" s="280">
        <v>7</v>
      </c>
      <c r="AI18" s="280">
        <v>14</v>
      </c>
      <c r="AJ18" s="280">
        <v>10</v>
      </c>
      <c r="AK18" s="280">
        <v>1.1000000000000001</v>
      </c>
      <c r="AL18" s="280">
        <v>0</v>
      </c>
      <c r="AM18" s="280">
        <v>0</v>
      </c>
      <c r="AN18" s="280">
        <v>0</v>
      </c>
      <c r="AO18" s="280">
        <v>25</v>
      </c>
      <c r="AP18" s="280">
        <v>11</v>
      </c>
      <c r="AQ18" s="280">
        <v>0</v>
      </c>
      <c r="AR18" s="280">
        <v>10</v>
      </c>
      <c r="AS18" s="280">
        <v>6</v>
      </c>
      <c r="AT18" s="280">
        <v>0</v>
      </c>
      <c r="AU18" s="280">
        <v>3</v>
      </c>
      <c r="AV18" s="280">
        <v>0</v>
      </c>
      <c r="AW18" s="280">
        <v>8.5</v>
      </c>
      <c r="AX18" s="280">
        <v>10</v>
      </c>
      <c r="AY18" s="280">
        <v>10</v>
      </c>
      <c r="BC18" s="284" t="s">
        <v>388</v>
      </c>
      <c r="BD18" s="284">
        <v>45</v>
      </c>
      <c r="BE18" s="284">
        <v>750</v>
      </c>
      <c r="BF18" s="284">
        <v>28</v>
      </c>
      <c r="BM18" s="343" t="s">
        <v>596</v>
      </c>
      <c r="BN18" s="280" t="s">
        <v>426</v>
      </c>
      <c r="BO18" s="280" t="s">
        <v>711</v>
      </c>
      <c r="BP18" s="280">
        <v>6</v>
      </c>
      <c r="BQ18" s="280">
        <v>4.8</v>
      </c>
      <c r="BR18" s="280">
        <v>3.6</v>
      </c>
      <c r="BS18" s="280">
        <v>3</v>
      </c>
      <c r="BT18" s="280">
        <v>2.4</v>
      </c>
      <c r="BU18" s="280">
        <v>1.2</v>
      </c>
      <c r="BV18" s="345">
        <v>0</v>
      </c>
      <c r="BY18" s="280" t="s">
        <v>469</v>
      </c>
      <c r="BZ18" s="405">
        <v>60</v>
      </c>
      <c r="CA18" s="405" t="s">
        <v>160</v>
      </c>
      <c r="CB18" s="280" t="s">
        <v>474</v>
      </c>
    </row>
    <row r="19" spans="1:81" ht="12.75" customHeight="1" x14ac:dyDescent="0.2">
      <c r="A19" s="351" t="s">
        <v>543</v>
      </c>
      <c r="B19" s="280" t="s">
        <v>201</v>
      </c>
      <c r="C19" s="280">
        <v>60</v>
      </c>
      <c r="D19" s="405">
        <v>0.3</v>
      </c>
      <c r="E19" s="293"/>
      <c r="F19" s="407" t="s">
        <v>420</v>
      </c>
      <c r="G19" s="408" t="s">
        <v>889</v>
      </c>
      <c r="J19" s="283" t="s">
        <v>30</v>
      </c>
      <c r="M19" s="366" t="s">
        <v>123</v>
      </c>
      <c r="N19" s="277"/>
      <c r="O19" s="280" t="s">
        <v>231</v>
      </c>
      <c r="P19" s="280">
        <v>3.6</v>
      </c>
      <c r="Q19" s="280">
        <v>3.7</v>
      </c>
      <c r="R19" s="280">
        <v>3.7</v>
      </c>
      <c r="S19" s="280">
        <v>3.4</v>
      </c>
      <c r="T19" s="280">
        <v>3.8</v>
      </c>
      <c r="U19" s="280">
        <v>4.3</v>
      </c>
      <c r="V19" s="280">
        <v>3.2</v>
      </c>
      <c r="W19" s="280">
        <v>5</v>
      </c>
      <c r="X19" s="280">
        <v>10.5</v>
      </c>
      <c r="Y19" s="280">
        <v>0</v>
      </c>
      <c r="Z19" s="280">
        <v>2</v>
      </c>
      <c r="AA19" s="280">
        <v>1.8</v>
      </c>
      <c r="AB19" s="280">
        <v>2.7</v>
      </c>
      <c r="AC19" s="280">
        <v>2.4</v>
      </c>
      <c r="AD19" s="280">
        <v>2.2000000000000002</v>
      </c>
      <c r="AE19" s="280">
        <v>1.5</v>
      </c>
      <c r="AF19" s="280">
        <v>34</v>
      </c>
      <c r="AG19" s="280">
        <v>0.8</v>
      </c>
      <c r="AH19" s="280">
        <v>7</v>
      </c>
      <c r="AI19" s="280">
        <v>0</v>
      </c>
      <c r="AJ19" s="280">
        <v>0</v>
      </c>
      <c r="AK19" s="280">
        <v>0</v>
      </c>
      <c r="AL19" s="280">
        <v>0</v>
      </c>
      <c r="AM19" s="280">
        <v>0</v>
      </c>
      <c r="AN19" s="280">
        <v>0</v>
      </c>
      <c r="AO19" s="280">
        <v>0</v>
      </c>
      <c r="AP19" s="280">
        <v>0</v>
      </c>
      <c r="AQ19" s="280">
        <v>0</v>
      </c>
      <c r="AR19" s="280">
        <v>0</v>
      </c>
      <c r="AS19" s="280">
        <v>0</v>
      </c>
      <c r="AT19" s="280">
        <v>0</v>
      </c>
      <c r="AU19" s="280">
        <v>0</v>
      </c>
      <c r="AV19" s="280">
        <v>0</v>
      </c>
      <c r="AW19" s="280">
        <v>8.5</v>
      </c>
      <c r="AX19" s="280">
        <v>10</v>
      </c>
      <c r="AY19" s="280">
        <v>10</v>
      </c>
      <c r="BC19" s="284" t="s">
        <v>76</v>
      </c>
      <c r="BD19" s="284">
        <v>45</v>
      </c>
      <c r="BE19" s="284">
        <v>750</v>
      </c>
      <c r="BF19" s="284">
        <v>12</v>
      </c>
      <c r="BM19" s="343" t="s">
        <v>596</v>
      </c>
      <c r="BN19" s="280" t="s">
        <v>42</v>
      </c>
      <c r="BO19" s="280" t="s">
        <v>711</v>
      </c>
      <c r="BP19" s="280">
        <v>6</v>
      </c>
      <c r="BQ19" s="280">
        <v>4.8</v>
      </c>
      <c r="BR19" s="280">
        <v>3.6</v>
      </c>
      <c r="BS19" s="280">
        <v>3</v>
      </c>
      <c r="BT19" s="280">
        <v>2.4</v>
      </c>
      <c r="BU19" s="280">
        <v>1.2</v>
      </c>
      <c r="BV19" s="345">
        <v>0</v>
      </c>
      <c r="BY19" s="280" t="s">
        <v>470</v>
      </c>
      <c r="BZ19" s="280">
        <v>52</v>
      </c>
      <c r="CB19" s="280" t="s">
        <v>124</v>
      </c>
    </row>
    <row r="20" spans="1:81" ht="12.75" customHeight="1" x14ac:dyDescent="0.2">
      <c r="A20" s="351" t="s">
        <v>545</v>
      </c>
      <c r="B20" s="280" t="s">
        <v>201</v>
      </c>
      <c r="C20" s="280">
        <v>60</v>
      </c>
      <c r="D20" s="405">
        <v>0.3</v>
      </c>
      <c r="E20" s="293"/>
      <c r="F20" s="351" t="s">
        <v>423</v>
      </c>
      <c r="G20" s="364">
        <v>9</v>
      </c>
      <c r="J20" s="302" t="s">
        <v>602</v>
      </c>
      <c r="M20" s="366" t="s">
        <v>225</v>
      </c>
      <c r="N20" s="277"/>
      <c r="O20" s="280" t="s">
        <v>579</v>
      </c>
      <c r="P20" s="280">
        <v>2.7</v>
      </c>
      <c r="Q20" s="280">
        <v>3.1</v>
      </c>
      <c r="R20" s="280">
        <v>3.3</v>
      </c>
      <c r="S20" s="280">
        <v>3.2</v>
      </c>
      <c r="T20" s="280">
        <v>3.3</v>
      </c>
      <c r="U20" s="280">
        <v>3.1</v>
      </c>
      <c r="V20" s="280">
        <v>2.2999999999999998</v>
      </c>
      <c r="W20" s="280">
        <v>4.8</v>
      </c>
      <c r="X20" s="280">
        <v>12.2</v>
      </c>
      <c r="Y20" s="280">
        <v>0</v>
      </c>
      <c r="Z20" s="280">
        <v>1.9</v>
      </c>
      <c r="AA20" s="280">
        <v>1.5</v>
      </c>
      <c r="AB20" s="280">
        <v>2.2999999999999998</v>
      </c>
      <c r="AC20" s="280">
        <v>2</v>
      </c>
      <c r="AD20" s="280">
        <v>0</v>
      </c>
      <c r="AE20" s="280">
        <v>1.4</v>
      </c>
      <c r="AF20" s="280">
        <v>29</v>
      </c>
      <c r="AG20" s="280">
        <v>0.8</v>
      </c>
      <c r="AH20" s="280">
        <v>7</v>
      </c>
      <c r="AI20" s="280">
        <v>0</v>
      </c>
      <c r="AJ20" s="280">
        <v>0</v>
      </c>
      <c r="AK20" s="280">
        <v>1.8</v>
      </c>
      <c r="AL20" s="280">
        <v>0</v>
      </c>
      <c r="AM20" s="280">
        <v>0</v>
      </c>
      <c r="AN20" s="280">
        <v>0</v>
      </c>
      <c r="AO20" s="280">
        <v>0</v>
      </c>
      <c r="AP20" s="280">
        <v>0</v>
      </c>
      <c r="AQ20" s="280">
        <v>0</v>
      </c>
      <c r="AR20" s="280">
        <v>0</v>
      </c>
      <c r="AS20" s="280">
        <v>0</v>
      </c>
      <c r="AT20" s="280">
        <v>0</v>
      </c>
      <c r="AU20" s="280">
        <v>0</v>
      </c>
      <c r="AV20" s="280">
        <v>0</v>
      </c>
      <c r="AW20" s="280">
        <v>8.5</v>
      </c>
      <c r="AX20" s="280">
        <v>10</v>
      </c>
      <c r="AY20" s="280">
        <v>10</v>
      </c>
      <c r="BC20" s="284" t="s">
        <v>74</v>
      </c>
      <c r="BD20" s="284">
        <v>44</v>
      </c>
      <c r="BE20" s="284">
        <v>850</v>
      </c>
      <c r="BF20" s="284">
        <v>12</v>
      </c>
      <c r="BM20" s="343" t="s">
        <v>596</v>
      </c>
      <c r="BN20" s="280" t="s">
        <v>730</v>
      </c>
      <c r="BO20" s="280" t="s">
        <v>711</v>
      </c>
      <c r="BP20" s="280">
        <v>1</v>
      </c>
      <c r="BQ20" s="280">
        <v>0.8</v>
      </c>
      <c r="BR20" s="280">
        <v>0.6</v>
      </c>
      <c r="BS20" s="280">
        <v>0.5</v>
      </c>
      <c r="BT20" s="280">
        <v>0.4</v>
      </c>
      <c r="BU20" s="280">
        <v>0.2</v>
      </c>
      <c r="BV20" s="345">
        <v>0</v>
      </c>
      <c r="BY20" s="280" t="s">
        <v>471</v>
      </c>
      <c r="BZ20" s="280">
        <v>52</v>
      </c>
      <c r="CB20" s="280" t="s">
        <v>440</v>
      </c>
    </row>
    <row r="21" spans="1:81" ht="12.75" customHeight="1" x14ac:dyDescent="0.2">
      <c r="A21" s="351" t="s">
        <v>396</v>
      </c>
      <c r="B21" s="280" t="s">
        <v>201</v>
      </c>
      <c r="C21" s="280">
        <v>40</v>
      </c>
      <c r="D21" s="405">
        <v>0.15</v>
      </c>
      <c r="E21" s="293"/>
      <c r="F21" s="352" t="s">
        <v>424</v>
      </c>
      <c r="G21" s="365">
        <v>1.6</v>
      </c>
      <c r="J21" s="283" t="s">
        <v>603</v>
      </c>
      <c r="M21" s="366" t="s">
        <v>226</v>
      </c>
      <c r="N21" s="277"/>
      <c r="O21" s="280" t="s">
        <v>232</v>
      </c>
      <c r="P21" s="280">
        <v>3.3</v>
      </c>
      <c r="Q21" s="280">
        <v>3.6</v>
      </c>
      <c r="R21" s="280">
        <v>3.3</v>
      </c>
      <c r="S21" s="280">
        <v>3.1</v>
      </c>
      <c r="T21" s="280">
        <v>3.4</v>
      </c>
      <c r="U21" s="280">
        <v>3.6</v>
      </c>
      <c r="V21" s="280">
        <v>2.8</v>
      </c>
      <c r="W21" s="280">
        <v>4.3</v>
      </c>
      <c r="X21" s="280">
        <v>13.5</v>
      </c>
      <c r="Y21" s="280">
        <v>55</v>
      </c>
      <c r="Z21" s="280">
        <v>2.2000000000000002</v>
      </c>
      <c r="AA21" s="280">
        <v>1.2</v>
      </c>
      <c r="AB21" s="280">
        <v>2.7</v>
      </c>
      <c r="AC21" s="280">
        <v>2</v>
      </c>
      <c r="AD21" s="280">
        <v>0</v>
      </c>
      <c r="AE21" s="280">
        <v>1.8</v>
      </c>
      <c r="AF21" s="280">
        <v>40</v>
      </c>
      <c r="AG21" s="280">
        <v>0.8</v>
      </c>
      <c r="AH21" s="280">
        <v>7</v>
      </c>
      <c r="AI21" s="280">
        <v>0</v>
      </c>
      <c r="AJ21" s="280">
        <v>12</v>
      </c>
      <c r="AK21" s="280">
        <v>1.9</v>
      </c>
      <c r="AL21" s="280">
        <v>0</v>
      </c>
      <c r="AM21" s="280">
        <v>0</v>
      </c>
      <c r="AN21" s="280">
        <v>0</v>
      </c>
      <c r="AO21" s="280">
        <v>0</v>
      </c>
      <c r="AP21" s="280">
        <v>0</v>
      </c>
      <c r="AQ21" s="280">
        <v>0</v>
      </c>
      <c r="AR21" s="280">
        <v>0</v>
      </c>
      <c r="AS21" s="280">
        <v>0</v>
      </c>
      <c r="AT21" s="280">
        <v>0</v>
      </c>
      <c r="AU21" s="280">
        <v>0</v>
      </c>
      <c r="AV21" s="280">
        <v>0</v>
      </c>
      <c r="AW21" s="280">
        <v>8.5</v>
      </c>
      <c r="AX21" s="280">
        <v>10</v>
      </c>
      <c r="AY21" s="280">
        <v>10</v>
      </c>
      <c r="BC21" s="284" t="s">
        <v>77</v>
      </c>
      <c r="BD21" s="284">
        <v>38</v>
      </c>
      <c r="BE21" s="284">
        <v>670</v>
      </c>
      <c r="BF21" s="284">
        <v>12</v>
      </c>
      <c r="BH21" s="280" t="s">
        <v>751</v>
      </c>
      <c r="BM21" s="343" t="s">
        <v>596</v>
      </c>
      <c r="BN21" s="280" t="s">
        <v>444</v>
      </c>
      <c r="BO21" s="280" t="s">
        <v>711</v>
      </c>
      <c r="BP21" s="280">
        <v>100</v>
      </c>
      <c r="BQ21" s="280">
        <v>60</v>
      </c>
      <c r="BR21" s="280">
        <v>48</v>
      </c>
      <c r="BS21" s="280">
        <v>40</v>
      </c>
      <c r="BT21" s="280">
        <v>32</v>
      </c>
      <c r="BU21" s="280">
        <v>20</v>
      </c>
      <c r="BV21" s="345">
        <v>8</v>
      </c>
      <c r="BY21" s="280" t="s">
        <v>472</v>
      </c>
      <c r="BZ21" s="280">
        <v>40</v>
      </c>
      <c r="CB21" s="280" t="s">
        <v>476</v>
      </c>
    </row>
    <row r="22" spans="1:81" ht="12.75" customHeight="1" x14ac:dyDescent="0.2">
      <c r="A22" s="351" t="s">
        <v>391</v>
      </c>
      <c r="B22" s="280" t="s">
        <v>201</v>
      </c>
      <c r="C22" s="280">
        <v>10</v>
      </c>
      <c r="D22" s="405">
        <v>10</v>
      </c>
      <c r="E22" s="293"/>
      <c r="J22" s="410" t="s">
        <v>604</v>
      </c>
      <c r="K22" s="414" t="s">
        <v>890</v>
      </c>
      <c r="M22" s="366" t="s">
        <v>68</v>
      </c>
      <c r="N22" s="277"/>
      <c r="O22" s="280" t="s">
        <v>580</v>
      </c>
      <c r="P22" s="280">
        <v>3.3</v>
      </c>
      <c r="Q22" s="280">
        <v>3</v>
      </c>
      <c r="R22" s="280">
        <v>3.2</v>
      </c>
      <c r="S22" s="280">
        <v>2.9</v>
      </c>
      <c r="T22" s="280">
        <v>3.1</v>
      </c>
      <c r="U22" s="280">
        <v>3</v>
      </c>
      <c r="V22" s="280">
        <v>0</v>
      </c>
      <c r="W22" s="280">
        <v>4.5</v>
      </c>
      <c r="X22" s="280">
        <v>12</v>
      </c>
      <c r="Y22" s="280">
        <v>0</v>
      </c>
      <c r="Z22" s="280">
        <v>1.8</v>
      </c>
      <c r="AA22" s="280">
        <v>0</v>
      </c>
      <c r="AB22" s="280">
        <v>2.9</v>
      </c>
      <c r="AC22" s="280">
        <v>0</v>
      </c>
      <c r="AD22" s="280">
        <v>0</v>
      </c>
      <c r="AE22" s="280">
        <v>0</v>
      </c>
      <c r="AF22" s="280">
        <v>31</v>
      </c>
      <c r="AG22" s="280">
        <v>0.8</v>
      </c>
      <c r="AH22" s="280">
        <v>7</v>
      </c>
      <c r="AI22" s="280">
        <v>12</v>
      </c>
      <c r="AJ22" s="280">
        <v>10</v>
      </c>
      <c r="AK22" s="280">
        <v>1.3</v>
      </c>
      <c r="AL22" s="280">
        <v>0</v>
      </c>
      <c r="AM22" s="280">
        <v>0</v>
      </c>
      <c r="AN22" s="280">
        <v>0</v>
      </c>
      <c r="AO22" s="280">
        <v>21.5</v>
      </c>
      <c r="AP22" s="280">
        <v>13</v>
      </c>
      <c r="AQ22" s="280">
        <v>0</v>
      </c>
      <c r="AR22" s="280">
        <v>10</v>
      </c>
      <c r="AS22" s="280">
        <v>8</v>
      </c>
      <c r="AT22" s="280">
        <v>0</v>
      </c>
      <c r="AU22" s="280">
        <v>3</v>
      </c>
      <c r="AV22" s="280">
        <v>0</v>
      </c>
      <c r="AW22" s="280">
        <v>8.5</v>
      </c>
      <c r="AX22" s="280">
        <v>10</v>
      </c>
      <c r="AY22" s="280">
        <v>10</v>
      </c>
      <c r="BC22" s="284" t="s">
        <v>78</v>
      </c>
      <c r="BD22" s="284">
        <v>45</v>
      </c>
      <c r="BE22" s="284">
        <v>800</v>
      </c>
      <c r="BF22" s="284">
        <v>10</v>
      </c>
      <c r="BH22" s="280">
        <v>10</v>
      </c>
      <c r="BM22" s="343"/>
      <c r="BN22" s="280"/>
      <c r="BO22" s="280"/>
      <c r="BP22" s="280"/>
      <c r="BQ22" s="280"/>
      <c r="BR22" s="280"/>
      <c r="BS22" s="280"/>
      <c r="BT22" s="280"/>
      <c r="BU22" s="280"/>
      <c r="BV22" s="345"/>
      <c r="CB22" s="280" t="s">
        <v>477</v>
      </c>
    </row>
    <row r="23" spans="1:81" ht="12.75" customHeight="1" x14ac:dyDescent="0.2">
      <c r="A23" s="351" t="s">
        <v>397</v>
      </c>
      <c r="B23" s="280" t="s">
        <v>416</v>
      </c>
      <c r="C23" s="280">
        <v>250</v>
      </c>
      <c r="D23" s="405">
        <v>0</v>
      </c>
      <c r="E23" s="293"/>
      <c r="F23" s="407" t="s">
        <v>421</v>
      </c>
      <c r="G23" s="408" t="s">
        <v>889</v>
      </c>
      <c r="J23" s="410" t="s">
        <v>605</v>
      </c>
      <c r="K23" s="411">
        <v>50</v>
      </c>
      <c r="M23" s="366" t="s">
        <v>826</v>
      </c>
      <c r="N23" s="277"/>
      <c r="O23" s="277"/>
      <c r="P23" s="277"/>
      <c r="Q23" s="277"/>
      <c r="R23" s="277"/>
      <c r="S23" s="277"/>
      <c r="T23" s="277"/>
      <c r="U23" s="277"/>
      <c r="V23" s="277"/>
      <c r="W23" s="277"/>
      <c r="X23" s="277"/>
      <c r="Y23" s="277"/>
      <c r="Z23" s="277"/>
      <c r="AA23" s="277"/>
      <c r="AB23" s="277"/>
      <c r="AC23" s="277"/>
      <c r="AD23" s="277"/>
      <c r="AE23" s="277"/>
      <c r="AF23" s="277"/>
      <c r="AG23" s="277"/>
      <c r="AH23" s="277"/>
      <c r="AI23" s="277"/>
      <c r="AJ23" s="277"/>
      <c r="AK23" s="277"/>
      <c r="AL23" s="277"/>
      <c r="AM23" s="277"/>
      <c r="AN23" s="277"/>
      <c r="AO23" s="277"/>
      <c r="AP23" s="277"/>
      <c r="AQ23" s="277"/>
      <c r="AR23" s="277"/>
      <c r="AS23" s="277"/>
      <c r="AT23" s="277"/>
      <c r="AU23" s="277"/>
      <c r="AV23" s="277"/>
      <c r="AW23" s="277"/>
      <c r="AX23" s="277"/>
      <c r="AY23" s="277"/>
      <c r="BC23" s="284" t="s">
        <v>79</v>
      </c>
      <c r="BD23" s="284">
        <v>42</v>
      </c>
      <c r="BE23" s="284">
        <v>800</v>
      </c>
      <c r="BF23" s="284">
        <v>14</v>
      </c>
      <c r="BM23" s="343"/>
      <c r="BN23" s="280"/>
      <c r="BO23" s="280"/>
      <c r="BP23" s="280"/>
      <c r="BQ23" s="280"/>
      <c r="BR23" s="280"/>
      <c r="BS23" s="280"/>
      <c r="BT23" s="280"/>
      <c r="BU23" s="280"/>
      <c r="BV23" s="345"/>
    </row>
    <row r="24" spans="1:81" ht="12.75" customHeight="1" x14ac:dyDescent="0.2">
      <c r="A24" s="351" t="s">
        <v>398</v>
      </c>
      <c r="B24" s="280" t="s">
        <v>416</v>
      </c>
      <c r="C24" s="280">
        <v>1</v>
      </c>
      <c r="D24" s="405">
        <v>0</v>
      </c>
      <c r="E24" s="293"/>
      <c r="F24" s="351" t="s">
        <v>423</v>
      </c>
      <c r="G24" s="364">
        <v>9</v>
      </c>
      <c r="J24" s="410" t="s">
        <v>606</v>
      </c>
      <c r="K24" s="411">
        <v>200</v>
      </c>
      <c r="M24" s="366" t="s">
        <v>369</v>
      </c>
      <c r="N24" s="277"/>
      <c r="O24" s="280" t="s">
        <v>581</v>
      </c>
      <c r="P24" s="292" t="s">
        <v>160</v>
      </c>
      <c r="Q24" s="292" t="s">
        <v>383</v>
      </c>
      <c r="R24" s="292" t="s">
        <v>283</v>
      </c>
      <c r="S24" s="292" t="s">
        <v>384</v>
      </c>
      <c r="T24" s="292" t="s">
        <v>284</v>
      </c>
      <c r="U24" s="292" t="s">
        <v>47</v>
      </c>
      <c r="V24" s="292" t="s">
        <v>285</v>
      </c>
      <c r="W24" s="292" t="s">
        <v>189</v>
      </c>
      <c r="X24" s="292" t="s">
        <v>190</v>
      </c>
      <c r="Y24" s="292" t="s">
        <v>297</v>
      </c>
      <c r="Z24" s="292" t="s">
        <v>426</v>
      </c>
      <c r="AA24" s="292" t="s">
        <v>168</v>
      </c>
      <c r="AB24" s="292" t="s">
        <v>169</v>
      </c>
      <c r="AC24" s="292" t="s">
        <v>170</v>
      </c>
      <c r="AD24" s="292" t="s">
        <v>42</v>
      </c>
      <c r="AE24" s="292" t="s">
        <v>43</v>
      </c>
      <c r="AF24" s="292" t="s">
        <v>44</v>
      </c>
      <c r="AG24" s="457" t="s">
        <v>590</v>
      </c>
      <c r="AH24" s="457"/>
      <c r="AI24" s="292" t="s">
        <v>186</v>
      </c>
      <c r="AJ24" s="292" t="s">
        <v>187</v>
      </c>
      <c r="AK24" s="292" t="s">
        <v>188</v>
      </c>
      <c r="AL24" s="292" t="s">
        <v>382</v>
      </c>
      <c r="AM24" s="292" t="s">
        <v>286</v>
      </c>
      <c r="AN24" s="292" t="s">
        <v>30</v>
      </c>
      <c r="AO24" s="292" t="s">
        <v>808</v>
      </c>
      <c r="AP24" s="292" t="s">
        <v>809</v>
      </c>
      <c r="AQ24" s="292" t="s">
        <v>810</v>
      </c>
      <c r="AR24" s="292" t="s">
        <v>811</v>
      </c>
      <c r="AS24" s="292" t="s">
        <v>812</v>
      </c>
      <c r="AT24" s="292" t="s">
        <v>813</v>
      </c>
      <c r="AU24" s="292" t="s">
        <v>816</v>
      </c>
      <c r="AV24" s="292" t="s">
        <v>817</v>
      </c>
      <c r="AW24" s="292" t="s">
        <v>818</v>
      </c>
      <c r="AX24" s="292" t="s">
        <v>819</v>
      </c>
      <c r="AY24" s="292" t="s">
        <v>820</v>
      </c>
      <c r="BC24" s="284" t="s">
        <v>389</v>
      </c>
      <c r="BD24" s="284">
        <v>49</v>
      </c>
      <c r="BE24" s="284">
        <v>850</v>
      </c>
      <c r="BF24" s="284">
        <v>12</v>
      </c>
      <c r="BM24" s="343"/>
      <c r="BN24" s="280"/>
      <c r="BO24" s="280"/>
      <c r="BP24" s="280"/>
      <c r="BQ24" s="280"/>
      <c r="BR24" s="280"/>
      <c r="BS24" s="280"/>
      <c r="BT24" s="280"/>
      <c r="BU24" s="280"/>
      <c r="BV24" s="345"/>
      <c r="BY24" s="283" t="s">
        <v>445</v>
      </c>
      <c r="CB24" s="283" t="s">
        <v>478</v>
      </c>
    </row>
    <row r="25" spans="1:81" ht="12.75" customHeight="1" x14ac:dyDescent="0.2">
      <c r="A25" s="351" t="s">
        <v>399</v>
      </c>
      <c r="B25" s="280" t="s">
        <v>416</v>
      </c>
      <c r="C25" s="280">
        <v>10</v>
      </c>
      <c r="D25" s="405">
        <v>0</v>
      </c>
      <c r="E25" s="293"/>
      <c r="F25" s="352" t="s">
        <v>424</v>
      </c>
      <c r="G25" s="365">
        <v>1.6</v>
      </c>
      <c r="J25" s="410" t="s">
        <v>607</v>
      </c>
      <c r="K25" s="411">
        <v>50</v>
      </c>
      <c r="M25" s="366" t="s">
        <v>825</v>
      </c>
      <c r="N25" s="277"/>
      <c r="O25" s="280" t="s">
        <v>235</v>
      </c>
      <c r="P25" s="280">
        <v>0</v>
      </c>
      <c r="Q25" s="280">
        <v>2.6</v>
      </c>
      <c r="R25" s="280">
        <v>2.2999999999999998</v>
      </c>
      <c r="S25" s="280">
        <v>2.6</v>
      </c>
      <c r="T25" s="280">
        <v>2.5</v>
      </c>
      <c r="U25" s="280">
        <v>0</v>
      </c>
      <c r="V25" s="280">
        <v>0</v>
      </c>
      <c r="W25" s="280">
        <v>0</v>
      </c>
      <c r="X25" s="280">
        <v>0</v>
      </c>
      <c r="Y25" s="280">
        <v>0</v>
      </c>
      <c r="Z25" s="280">
        <v>0</v>
      </c>
      <c r="AA25" s="280">
        <v>0</v>
      </c>
      <c r="AB25" s="280">
        <v>0</v>
      </c>
      <c r="AC25" s="280">
        <v>0</v>
      </c>
      <c r="AD25" s="280">
        <v>0</v>
      </c>
      <c r="AE25" s="280">
        <v>0</v>
      </c>
      <c r="AF25" s="280">
        <v>23.8</v>
      </c>
      <c r="AG25" s="280">
        <v>0</v>
      </c>
      <c r="AH25" s="280">
        <v>0</v>
      </c>
      <c r="AI25" s="280">
        <v>0</v>
      </c>
      <c r="AJ25" s="280">
        <v>0</v>
      </c>
      <c r="AK25" s="280">
        <v>0</v>
      </c>
      <c r="AL25" s="280">
        <v>0</v>
      </c>
      <c r="AM25" s="280">
        <v>0</v>
      </c>
      <c r="AN25" s="280">
        <v>0</v>
      </c>
      <c r="AO25" s="280">
        <v>0</v>
      </c>
      <c r="AP25" s="280">
        <v>0</v>
      </c>
      <c r="AQ25" s="280">
        <v>0</v>
      </c>
      <c r="AR25" s="280">
        <v>0</v>
      </c>
      <c r="AS25" s="280">
        <v>0</v>
      </c>
      <c r="AT25" s="280">
        <v>0</v>
      </c>
      <c r="AU25" s="280">
        <v>0</v>
      </c>
      <c r="AV25" s="280">
        <v>0</v>
      </c>
      <c r="AW25" s="280">
        <v>8.5</v>
      </c>
      <c r="AX25" s="280">
        <v>10</v>
      </c>
      <c r="AY25" s="280">
        <v>10</v>
      </c>
      <c r="BA25" s="277"/>
      <c r="BC25" s="284" t="s">
        <v>207</v>
      </c>
      <c r="BD25" s="284">
        <v>36</v>
      </c>
      <c r="BE25" s="284">
        <v>680</v>
      </c>
      <c r="BF25" s="284">
        <v>12</v>
      </c>
      <c r="BM25" s="343"/>
      <c r="BN25" s="280"/>
      <c r="BO25" s="280"/>
      <c r="BP25" s="280"/>
      <c r="BQ25" s="280"/>
      <c r="BR25" s="280"/>
      <c r="BS25" s="280"/>
      <c r="BT25" s="280"/>
      <c r="BU25" s="280"/>
      <c r="BV25" s="345"/>
      <c r="BY25" s="280" t="s">
        <v>479</v>
      </c>
      <c r="BZ25" s="280">
        <v>20</v>
      </c>
      <c r="CB25" s="280" t="s">
        <v>479</v>
      </c>
      <c r="CC25" s="280">
        <v>7</v>
      </c>
    </row>
    <row r="26" spans="1:81" ht="12.75" customHeight="1" x14ac:dyDescent="0.2">
      <c r="A26" s="351" t="s">
        <v>400</v>
      </c>
      <c r="B26" s="280" t="s">
        <v>416</v>
      </c>
      <c r="C26" s="280">
        <v>0.03</v>
      </c>
      <c r="D26" s="405">
        <v>0</v>
      </c>
      <c r="E26" s="293"/>
      <c r="J26" s="412" t="s">
        <v>608</v>
      </c>
      <c r="K26" s="413">
        <v>100</v>
      </c>
      <c r="N26" s="277"/>
      <c r="O26" s="280" t="s">
        <v>582</v>
      </c>
      <c r="P26" s="280">
        <v>4.8</v>
      </c>
      <c r="Q26" s="280">
        <v>4</v>
      </c>
      <c r="R26" s="280">
        <v>3.8</v>
      </c>
      <c r="S26" s="280">
        <v>5.7</v>
      </c>
      <c r="T26" s="280">
        <v>5.4</v>
      </c>
      <c r="U26" s="280">
        <v>0</v>
      </c>
      <c r="V26" s="280">
        <v>0</v>
      </c>
      <c r="W26" s="280">
        <v>12.9</v>
      </c>
      <c r="X26" s="280">
        <v>26.3</v>
      </c>
      <c r="Y26" s="280">
        <v>85</v>
      </c>
      <c r="Z26" s="280">
        <v>2.2000000000000002</v>
      </c>
      <c r="AA26" s="280">
        <v>0</v>
      </c>
      <c r="AB26" s="280">
        <v>0</v>
      </c>
      <c r="AC26" s="280">
        <v>0</v>
      </c>
      <c r="AD26" s="280">
        <v>0</v>
      </c>
      <c r="AE26" s="280">
        <v>0</v>
      </c>
      <c r="AF26" s="280">
        <v>66.400000000000006</v>
      </c>
      <c r="AG26" s="280">
        <v>0</v>
      </c>
      <c r="AH26" s="280">
        <v>0</v>
      </c>
      <c r="AI26" s="280">
        <v>16</v>
      </c>
      <c r="AJ26" s="280">
        <v>10</v>
      </c>
      <c r="AK26" s="280">
        <v>0</v>
      </c>
      <c r="AL26" s="280">
        <v>10</v>
      </c>
      <c r="AM26" s="280">
        <v>1.8</v>
      </c>
      <c r="AN26" s="280">
        <v>0</v>
      </c>
      <c r="AO26" s="280">
        <v>45</v>
      </c>
      <c r="AP26" s="280">
        <v>37</v>
      </c>
      <c r="AQ26" s="280">
        <v>26</v>
      </c>
      <c r="AR26" s="280">
        <v>10</v>
      </c>
      <c r="AS26" s="280">
        <v>15</v>
      </c>
      <c r="AT26" s="280">
        <v>0</v>
      </c>
      <c r="AU26" s="280">
        <v>3</v>
      </c>
      <c r="AV26" s="280">
        <v>4</v>
      </c>
      <c r="AW26" s="280">
        <v>8.5</v>
      </c>
      <c r="AX26" s="280">
        <v>10</v>
      </c>
      <c r="AY26" s="280">
        <v>10</v>
      </c>
      <c r="BC26" s="284" t="s">
        <v>63</v>
      </c>
      <c r="BD26" s="284">
        <v>36</v>
      </c>
      <c r="BE26" s="284">
        <v>650</v>
      </c>
      <c r="BF26" s="284">
        <v>10</v>
      </c>
      <c r="BM26" s="343"/>
      <c r="BN26" s="280"/>
      <c r="BO26" s="280"/>
      <c r="BP26" s="280"/>
      <c r="BQ26" s="280"/>
      <c r="BR26" s="280"/>
      <c r="BS26" s="280"/>
      <c r="BT26" s="280"/>
      <c r="BU26" s="280"/>
      <c r="BV26" s="345"/>
      <c r="BY26" s="280" t="s">
        <v>480</v>
      </c>
      <c r="BZ26" s="280">
        <v>15</v>
      </c>
      <c r="CB26" s="280" t="s">
        <v>480</v>
      </c>
      <c r="CC26" s="280">
        <v>5</v>
      </c>
    </row>
    <row r="27" spans="1:81" ht="12.75" customHeight="1" x14ac:dyDescent="0.2">
      <c r="A27" s="351" t="s">
        <v>401</v>
      </c>
      <c r="B27" s="280" t="s">
        <v>201</v>
      </c>
      <c r="C27" s="280">
        <v>1</v>
      </c>
      <c r="D27" s="405">
        <v>0</v>
      </c>
      <c r="E27" s="293"/>
      <c r="F27" s="461" t="s">
        <v>422</v>
      </c>
      <c r="G27" s="462"/>
      <c r="N27" s="277"/>
      <c r="O27" s="280" t="s">
        <v>583</v>
      </c>
      <c r="P27" s="280">
        <v>5</v>
      </c>
      <c r="Q27" s="280">
        <v>5.6</v>
      </c>
      <c r="R27" s="280">
        <v>5.2</v>
      </c>
      <c r="S27" s="280">
        <v>4.4000000000000004</v>
      </c>
      <c r="T27" s="280">
        <v>4.2</v>
      </c>
      <c r="U27" s="280">
        <v>0</v>
      </c>
      <c r="V27" s="280">
        <v>0</v>
      </c>
      <c r="W27" s="280">
        <v>10.4</v>
      </c>
      <c r="X27" s="280">
        <v>26.1</v>
      </c>
      <c r="Y27" s="280">
        <v>80</v>
      </c>
      <c r="Z27" s="280">
        <v>1.5</v>
      </c>
      <c r="AA27" s="280">
        <v>0</v>
      </c>
      <c r="AB27" s="280">
        <v>2</v>
      </c>
      <c r="AC27" s="280">
        <v>0</v>
      </c>
      <c r="AD27" s="280">
        <v>0</v>
      </c>
      <c r="AE27" s="280">
        <v>0.9</v>
      </c>
      <c r="AF27" s="280">
        <v>36.1</v>
      </c>
      <c r="AG27" s="280">
        <v>0</v>
      </c>
      <c r="AH27" s="280">
        <v>0</v>
      </c>
      <c r="AI27" s="280">
        <v>0</v>
      </c>
      <c r="AJ27" s="280">
        <v>0</v>
      </c>
      <c r="AK27" s="280">
        <v>0</v>
      </c>
      <c r="AL27" s="280">
        <v>0</v>
      </c>
      <c r="AM27" s="280">
        <v>0</v>
      </c>
      <c r="AN27" s="280">
        <v>0</v>
      </c>
      <c r="AO27" s="280">
        <v>27</v>
      </c>
      <c r="AP27" s="280">
        <v>0</v>
      </c>
      <c r="AQ27" s="280">
        <v>21</v>
      </c>
      <c r="AR27" s="280">
        <v>10</v>
      </c>
      <c r="AS27" s="280">
        <v>13</v>
      </c>
      <c r="AT27" s="280">
        <v>0</v>
      </c>
      <c r="AU27" s="280">
        <v>3</v>
      </c>
      <c r="AV27" s="280">
        <v>0</v>
      </c>
      <c r="AW27" s="280">
        <v>8.5</v>
      </c>
      <c r="AX27" s="280">
        <v>10</v>
      </c>
      <c r="AY27" s="280">
        <v>10</v>
      </c>
      <c r="BC27" s="278"/>
      <c r="BD27" s="278"/>
      <c r="BE27" s="278"/>
      <c r="BF27" s="278"/>
      <c r="BM27" s="343"/>
      <c r="BN27" s="280"/>
      <c r="BO27" s="280"/>
      <c r="BP27" s="280"/>
      <c r="BQ27" s="280"/>
      <c r="BR27" s="280"/>
      <c r="BS27" s="280"/>
      <c r="BT27" s="280"/>
      <c r="BU27" s="280"/>
      <c r="BV27" s="345"/>
      <c r="BY27" s="280" t="s">
        <v>481</v>
      </c>
      <c r="BZ27" s="280">
        <v>10</v>
      </c>
      <c r="CB27" s="280" t="s">
        <v>481</v>
      </c>
      <c r="CC27" s="280">
        <v>4</v>
      </c>
    </row>
    <row r="28" spans="1:81" ht="12.75" customHeight="1" x14ac:dyDescent="0.2">
      <c r="A28" s="351" t="s">
        <v>392</v>
      </c>
      <c r="B28" s="280" t="s">
        <v>201</v>
      </c>
      <c r="C28" s="280">
        <v>30</v>
      </c>
      <c r="D28" s="405">
        <v>0.15</v>
      </c>
      <c r="E28" s="293"/>
      <c r="F28" s="284" t="s">
        <v>423</v>
      </c>
      <c r="G28" s="285">
        <v>9</v>
      </c>
      <c r="N28" s="277"/>
      <c r="O28" s="280" t="s">
        <v>584</v>
      </c>
      <c r="P28" s="280">
        <v>6.3</v>
      </c>
      <c r="Q28" s="280">
        <v>7.2</v>
      </c>
      <c r="R28" s="280">
        <v>6.9</v>
      </c>
      <c r="S28" s="280">
        <v>5</v>
      </c>
      <c r="T28" s="280">
        <v>4.5999999999999996</v>
      </c>
      <c r="U28" s="280">
        <v>0</v>
      </c>
      <c r="V28" s="280">
        <v>0</v>
      </c>
      <c r="W28" s="280">
        <v>12.2</v>
      </c>
      <c r="X28" s="280">
        <v>26</v>
      </c>
      <c r="Y28" s="280">
        <v>0</v>
      </c>
      <c r="Z28" s="280">
        <v>0</v>
      </c>
      <c r="AA28" s="280">
        <v>0</v>
      </c>
      <c r="AB28" s="280">
        <v>0</v>
      </c>
      <c r="AC28" s="280">
        <v>0</v>
      </c>
      <c r="AD28" s="280">
        <v>0</v>
      </c>
      <c r="AE28" s="280">
        <v>0</v>
      </c>
      <c r="AF28" s="280">
        <v>43.1</v>
      </c>
      <c r="AG28" s="280">
        <v>0</v>
      </c>
      <c r="AH28" s="280">
        <v>0</v>
      </c>
      <c r="AI28" s="280">
        <v>18</v>
      </c>
      <c r="AJ28" s="280">
        <v>0</v>
      </c>
      <c r="AK28" s="280">
        <v>0</v>
      </c>
      <c r="AL28" s="280">
        <v>12</v>
      </c>
      <c r="AM28" s="280">
        <v>1.2</v>
      </c>
      <c r="AN28" s="280">
        <v>0</v>
      </c>
      <c r="AO28" s="280">
        <v>32</v>
      </c>
      <c r="AP28" s="280">
        <v>8</v>
      </c>
      <c r="AQ28" s="280">
        <v>10</v>
      </c>
      <c r="AR28" s="280">
        <v>10</v>
      </c>
      <c r="AS28" s="280">
        <v>0</v>
      </c>
      <c r="AT28" s="280">
        <v>0</v>
      </c>
      <c r="AU28" s="280">
        <v>3</v>
      </c>
      <c r="AV28" s="280">
        <v>4</v>
      </c>
      <c r="AW28" s="280">
        <v>8.5</v>
      </c>
      <c r="AX28" s="280">
        <v>10</v>
      </c>
      <c r="AY28" s="280">
        <v>10</v>
      </c>
      <c r="BC28" s="289" t="s">
        <v>445</v>
      </c>
      <c r="BD28" s="288"/>
      <c r="BF28" s="289" t="s">
        <v>452</v>
      </c>
      <c r="BG28" s="288"/>
      <c r="BL28" s="295"/>
      <c r="BM28" s="343"/>
      <c r="BN28" s="280"/>
      <c r="BO28" s="280"/>
      <c r="BP28" s="280"/>
      <c r="BQ28" s="280"/>
      <c r="BR28" s="280"/>
      <c r="BS28" s="280"/>
      <c r="BT28" s="280"/>
      <c r="BU28" s="280"/>
      <c r="BV28" s="345"/>
      <c r="BY28" s="280" t="s">
        <v>482</v>
      </c>
      <c r="BZ28" s="280">
        <v>10</v>
      </c>
      <c r="CB28" s="280" t="s">
        <v>482</v>
      </c>
      <c r="CC28" s="280">
        <v>4</v>
      </c>
    </row>
    <row r="29" spans="1:81" ht="12.75" customHeight="1" x14ac:dyDescent="0.2">
      <c r="A29" s="351" t="s">
        <v>402</v>
      </c>
      <c r="B29" s="280" t="s">
        <v>201</v>
      </c>
      <c r="C29" s="280">
        <v>200</v>
      </c>
      <c r="D29" s="405">
        <v>0.5</v>
      </c>
      <c r="E29" s="293"/>
      <c r="F29" s="284" t="s">
        <v>424</v>
      </c>
      <c r="G29" s="285">
        <v>1.6</v>
      </c>
      <c r="L29" s="304"/>
      <c r="N29" s="277"/>
      <c r="O29" s="280" t="s">
        <v>305</v>
      </c>
      <c r="P29" s="280">
        <v>3.5</v>
      </c>
      <c r="Q29" s="280">
        <v>7.5</v>
      </c>
      <c r="R29" s="280">
        <v>7.2</v>
      </c>
      <c r="S29" s="280">
        <v>4.8</v>
      </c>
      <c r="T29" s="280">
        <v>4.3</v>
      </c>
      <c r="U29" s="280">
        <v>0</v>
      </c>
      <c r="V29" s="280">
        <v>3</v>
      </c>
      <c r="W29" s="280">
        <v>11</v>
      </c>
      <c r="X29" s="280">
        <v>21.7</v>
      </c>
      <c r="Y29" s="280">
        <v>74</v>
      </c>
      <c r="Z29" s="280">
        <v>1.8</v>
      </c>
      <c r="AA29" s="280">
        <v>2</v>
      </c>
      <c r="AB29" s="280">
        <v>3</v>
      </c>
      <c r="AC29" s="280">
        <v>0</v>
      </c>
      <c r="AD29" s="280">
        <v>3.7</v>
      </c>
      <c r="AE29" s="280">
        <v>1.2</v>
      </c>
      <c r="AF29" s="280">
        <v>46.5</v>
      </c>
      <c r="AG29" s="280">
        <v>0</v>
      </c>
      <c r="AH29" s="280">
        <v>0</v>
      </c>
      <c r="AI29" s="280">
        <v>9</v>
      </c>
      <c r="AJ29" s="280">
        <v>11</v>
      </c>
      <c r="AK29" s="280">
        <v>0</v>
      </c>
      <c r="AL29" s="280">
        <v>10</v>
      </c>
      <c r="AM29" s="280">
        <v>1.1000000000000001</v>
      </c>
      <c r="AN29" s="280">
        <v>2.7</v>
      </c>
      <c r="AO29" s="280">
        <v>20</v>
      </c>
      <c r="AP29" s="280">
        <v>0</v>
      </c>
      <c r="AQ29" s="280">
        <v>15</v>
      </c>
      <c r="AR29" s="280">
        <v>0</v>
      </c>
      <c r="AS29" s="280">
        <v>0</v>
      </c>
      <c r="AT29" s="280">
        <v>0</v>
      </c>
      <c r="AU29" s="280">
        <v>0</v>
      </c>
      <c r="AV29" s="280">
        <v>0</v>
      </c>
      <c r="AW29" s="280">
        <v>8.5</v>
      </c>
      <c r="AX29" s="280">
        <v>10</v>
      </c>
      <c r="AY29" s="280">
        <v>10</v>
      </c>
      <c r="BC29" s="349" t="s">
        <v>754</v>
      </c>
      <c r="BD29" s="361" t="s">
        <v>756</v>
      </c>
      <c r="BF29" s="349" t="s">
        <v>754</v>
      </c>
      <c r="BG29" s="361" t="s">
        <v>755</v>
      </c>
      <c r="BL29" s="305"/>
      <c r="BM29" s="343"/>
      <c r="BN29" s="280"/>
      <c r="BO29" s="280"/>
      <c r="BP29" s="280"/>
      <c r="BQ29" s="280"/>
      <c r="BR29" s="280"/>
      <c r="BS29" s="280"/>
      <c r="BT29" s="280"/>
      <c r="BU29" s="280"/>
      <c r="BV29" s="345"/>
      <c r="BY29" s="280" t="s">
        <v>483</v>
      </c>
      <c r="BZ29" s="280">
        <v>5</v>
      </c>
      <c r="CB29" s="280" t="s">
        <v>483</v>
      </c>
      <c r="CC29" s="280">
        <v>2</v>
      </c>
    </row>
    <row r="30" spans="1:81" ht="12.75" customHeight="1" x14ac:dyDescent="0.2">
      <c r="A30" s="351" t="s">
        <v>403</v>
      </c>
      <c r="B30" s="280" t="s">
        <v>416</v>
      </c>
      <c r="C30" s="280">
        <v>10</v>
      </c>
      <c r="D30" s="405">
        <v>10</v>
      </c>
      <c r="E30" s="293"/>
      <c r="F30" s="278"/>
      <c r="G30" s="278"/>
      <c r="L30" s="304"/>
      <c r="N30" s="277"/>
      <c r="O30" s="280" t="s">
        <v>585</v>
      </c>
      <c r="P30" s="280">
        <v>4.4000000000000004</v>
      </c>
      <c r="Q30" s="280">
        <v>5.0999999999999996</v>
      </c>
      <c r="R30" s="280">
        <v>4.9000000000000004</v>
      </c>
      <c r="S30" s="280">
        <v>5</v>
      </c>
      <c r="T30" s="280">
        <v>4.7</v>
      </c>
      <c r="U30" s="280">
        <v>0</v>
      </c>
      <c r="V30" s="280">
        <v>0</v>
      </c>
      <c r="W30" s="280">
        <v>10.3</v>
      </c>
      <c r="X30" s="280">
        <v>20.100000000000001</v>
      </c>
      <c r="Y30" s="280">
        <v>70</v>
      </c>
      <c r="Z30" s="280">
        <v>0</v>
      </c>
      <c r="AA30" s="280">
        <v>0</v>
      </c>
      <c r="AB30" s="280">
        <v>0</v>
      </c>
      <c r="AC30" s="280">
        <v>0</v>
      </c>
      <c r="AD30" s="280">
        <v>3.6</v>
      </c>
      <c r="AE30" s="280">
        <v>0</v>
      </c>
      <c r="AF30" s="280">
        <v>46.1</v>
      </c>
      <c r="AG30" s="280">
        <v>0</v>
      </c>
      <c r="AH30" s="280">
        <v>0</v>
      </c>
      <c r="AI30" s="280">
        <v>11</v>
      </c>
      <c r="AJ30" s="280">
        <v>12</v>
      </c>
      <c r="AK30" s="280">
        <v>0</v>
      </c>
      <c r="AL30" s="280">
        <v>8</v>
      </c>
      <c r="AM30" s="280">
        <v>0</v>
      </c>
      <c r="AN30" s="280">
        <v>2.9</v>
      </c>
      <c r="AO30" s="280">
        <v>26</v>
      </c>
      <c r="AP30" s="280">
        <v>24</v>
      </c>
      <c r="AQ30" s="280">
        <v>17</v>
      </c>
      <c r="AR30" s="280">
        <v>10</v>
      </c>
      <c r="AS30" s="280">
        <v>9</v>
      </c>
      <c r="AT30" s="280">
        <v>0</v>
      </c>
      <c r="AU30" s="280">
        <v>3</v>
      </c>
      <c r="AV30" s="280">
        <v>0</v>
      </c>
      <c r="AW30" s="280">
        <v>8.5</v>
      </c>
      <c r="AX30" s="280">
        <v>10</v>
      </c>
      <c r="AY30" s="280">
        <v>10</v>
      </c>
      <c r="BC30" s="351" t="s">
        <v>446</v>
      </c>
      <c r="BD30" s="364">
        <v>90</v>
      </c>
      <c r="BF30" s="351" t="s">
        <v>446</v>
      </c>
      <c r="BG30" s="364">
        <f>0.2*1000</f>
        <v>200</v>
      </c>
      <c r="BL30" s="305"/>
      <c r="BM30" s="343"/>
      <c r="BN30" s="280"/>
      <c r="BO30" s="280"/>
      <c r="BP30" s="280"/>
      <c r="BQ30" s="280"/>
      <c r="BR30" s="280"/>
      <c r="BS30" s="280"/>
      <c r="BT30" s="280"/>
      <c r="BU30" s="280"/>
      <c r="BV30" s="345"/>
    </row>
    <row r="31" spans="1:81" ht="12.75" customHeight="1" x14ac:dyDescent="0.2">
      <c r="A31" s="351" t="s">
        <v>393</v>
      </c>
      <c r="B31" s="280" t="s">
        <v>201</v>
      </c>
      <c r="C31" s="280">
        <v>500</v>
      </c>
      <c r="D31" s="405">
        <v>10</v>
      </c>
      <c r="E31" s="293"/>
      <c r="F31" s="461" t="s">
        <v>600</v>
      </c>
      <c r="G31" s="462"/>
      <c r="L31" s="304"/>
      <c r="N31" s="277"/>
      <c r="O31" s="280" t="s">
        <v>586</v>
      </c>
      <c r="P31" s="280">
        <v>3.9</v>
      </c>
      <c r="Q31" s="280">
        <v>4.4000000000000004</v>
      </c>
      <c r="R31" s="280">
        <v>4.5999999999999996</v>
      </c>
      <c r="S31" s="280">
        <v>4.0999999999999996</v>
      </c>
      <c r="T31" s="280">
        <v>3.7</v>
      </c>
      <c r="U31" s="280">
        <v>0</v>
      </c>
      <c r="V31" s="280">
        <v>1.8</v>
      </c>
      <c r="W31" s="280">
        <v>10.6</v>
      </c>
      <c r="X31" s="280">
        <v>19.399999999999999</v>
      </c>
      <c r="Y31" s="280">
        <v>0</v>
      </c>
      <c r="Z31" s="280">
        <v>0</v>
      </c>
      <c r="AA31" s="280">
        <v>1.4</v>
      </c>
      <c r="AB31" s="280">
        <v>0</v>
      </c>
      <c r="AC31" s="280">
        <v>0</v>
      </c>
      <c r="AD31" s="280">
        <v>3</v>
      </c>
      <c r="AE31" s="280">
        <v>0</v>
      </c>
      <c r="AF31" s="280">
        <v>35.9</v>
      </c>
      <c r="AG31" s="280">
        <v>0</v>
      </c>
      <c r="AH31" s="280">
        <v>0</v>
      </c>
      <c r="AI31" s="280">
        <v>12</v>
      </c>
      <c r="AJ31" s="280">
        <v>12</v>
      </c>
      <c r="AK31" s="280">
        <v>0</v>
      </c>
      <c r="AL31" s="280">
        <v>8</v>
      </c>
      <c r="AM31" s="280">
        <v>1.2</v>
      </c>
      <c r="AN31" s="280">
        <v>2.7</v>
      </c>
      <c r="AO31" s="280">
        <v>23</v>
      </c>
      <c r="AP31" s="280">
        <v>0</v>
      </c>
      <c r="AQ31" s="280">
        <v>12</v>
      </c>
      <c r="AR31" s="280">
        <v>0</v>
      </c>
      <c r="AS31" s="280">
        <v>0</v>
      </c>
      <c r="AT31" s="280">
        <v>0</v>
      </c>
      <c r="AU31" s="280">
        <v>0</v>
      </c>
      <c r="AV31" s="280">
        <v>4</v>
      </c>
      <c r="AW31" s="280">
        <v>8.5</v>
      </c>
      <c r="AX31" s="280">
        <v>10</v>
      </c>
      <c r="AY31" s="280">
        <v>10</v>
      </c>
      <c r="BC31" s="351" t="s">
        <v>447</v>
      </c>
      <c r="BD31" s="364">
        <v>72</v>
      </c>
      <c r="BF31" s="351" t="s">
        <v>447</v>
      </c>
      <c r="BG31" s="364">
        <v>200</v>
      </c>
      <c r="BL31" s="305"/>
      <c r="BM31" s="343"/>
      <c r="BN31" s="280"/>
      <c r="BO31" s="280"/>
      <c r="BP31" s="280"/>
      <c r="BQ31" s="280"/>
      <c r="BR31" s="280"/>
      <c r="BS31" s="280"/>
      <c r="BT31" s="280"/>
      <c r="BU31" s="280"/>
      <c r="BV31" s="345"/>
      <c r="BZ31" s="288"/>
    </row>
    <row r="32" spans="1:81" ht="12.75" customHeight="1" x14ac:dyDescent="0.2">
      <c r="A32" s="351" t="s">
        <v>394</v>
      </c>
      <c r="B32" s="280" t="s">
        <v>201</v>
      </c>
      <c r="C32" s="280">
        <v>40</v>
      </c>
      <c r="D32" s="405">
        <v>0.2</v>
      </c>
      <c r="E32" s="293"/>
      <c r="F32" s="284" t="s">
        <v>601</v>
      </c>
      <c r="G32" s="285"/>
      <c r="L32" s="304"/>
      <c r="N32" s="277"/>
      <c r="O32" s="277"/>
      <c r="P32" s="292" t="s">
        <v>160</v>
      </c>
      <c r="Q32" s="292" t="s">
        <v>383</v>
      </c>
      <c r="R32" s="292" t="s">
        <v>283</v>
      </c>
      <c r="S32" s="292" t="s">
        <v>384</v>
      </c>
      <c r="T32" s="292" t="s">
        <v>284</v>
      </c>
      <c r="U32" s="292" t="s">
        <v>47</v>
      </c>
      <c r="V32" s="283"/>
      <c r="W32" s="292" t="s">
        <v>189</v>
      </c>
      <c r="X32" s="292" t="s">
        <v>190</v>
      </c>
      <c r="Y32" s="292" t="s">
        <v>297</v>
      </c>
      <c r="Z32" s="292" t="s">
        <v>425</v>
      </c>
      <c r="AA32" s="292" t="s">
        <v>168</v>
      </c>
      <c r="AB32" s="292" t="s">
        <v>169</v>
      </c>
      <c r="AC32" s="292" t="s">
        <v>170</v>
      </c>
      <c r="AD32" s="292" t="s">
        <v>42</v>
      </c>
      <c r="AE32" s="292" t="s">
        <v>43</v>
      </c>
      <c r="AF32" s="292" t="s">
        <v>44</v>
      </c>
      <c r="AG32" s="460" t="s">
        <v>590</v>
      </c>
      <c r="AH32" s="460"/>
      <c r="AI32" s="292" t="s">
        <v>186</v>
      </c>
      <c r="AJ32" s="292" t="s">
        <v>187</v>
      </c>
      <c r="AK32" s="292" t="s">
        <v>188</v>
      </c>
      <c r="AL32" s="292" t="s">
        <v>382</v>
      </c>
      <c r="AM32" s="283"/>
      <c r="AN32" s="292" t="s">
        <v>30</v>
      </c>
      <c r="AO32" s="292" t="s">
        <v>808</v>
      </c>
      <c r="AP32" s="292" t="s">
        <v>809</v>
      </c>
      <c r="AQ32" s="292" t="s">
        <v>810</v>
      </c>
      <c r="AR32" s="292" t="s">
        <v>811</v>
      </c>
      <c r="AS32" s="292" t="s">
        <v>812</v>
      </c>
      <c r="AT32" s="292" t="s">
        <v>813</v>
      </c>
      <c r="AU32" s="292" t="s">
        <v>816</v>
      </c>
      <c r="AV32" s="292" t="s">
        <v>817</v>
      </c>
      <c r="AW32" s="292" t="s">
        <v>818</v>
      </c>
      <c r="AX32" s="292" t="s">
        <v>819</v>
      </c>
      <c r="AY32" s="292" t="s">
        <v>820</v>
      </c>
      <c r="BC32" s="351" t="s">
        <v>448</v>
      </c>
      <c r="BD32" s="364">
        <v>48</v>
      </c>
      <c r="BF32" s="351" t="s">
        <v>448</v>
      </c>
      <c r="BG32" s="364">
        <v>153</v>
      </c>
      <c r="BL32" s="305"/>
      <c r="BM32" s="346"/>
      <c r="BN32" s="298"/>
      <c r="BO32" s="298"/>
      <c r="BP32" s="298"/>
      <c r="BQ32" s="298"/>
      <c r="BR32" s="298"/>
      <c r="BS32" s="298"/>
      <c r="BT32" s="298"/>
      <c r="BU32" s="298"/>
      <c r="BV32" s="347"/>
      <c r="BY32" s="289" t="s">
        <v>523</v>
      </c>
    </row>
    <row r="33" spans="1:86" ht="12.75" customHeight="1" x14ac:dyDescent="0.2">
      <c r="A33" s="351" t="s">
        <v>410</v>
      </c>
      <c r="B33" s="280" t="s">
        <v>416</v>
      </c>
      <c r="C33" s="280">
        <v>100</v>
      </c>
      <c r="D33" s="405">
        <v>0.3</v>
      </c>
      <c r="E33" s="293"/>
      <c r="F33" s="284" t="s">
        <v>424</v>
      </c>
      <c r="G33" s="285">
        <v>2.5</v>
      </c>
      <c r="L33" s="304"/>
      <c r="N33" s="277"/>
      <c r="P33" s="280" t="s">
        <v>573</v>
      </c>
      <c r="Q33" s="280" t="s">
        <v>573</v>
      </c>
      <c r="R33" s="280" t="s">
        <v>574</v>
      </c>
      <c r="S33" s="280" t="s">
        <v>573</v>
      </c>
      <c r="T33" s="280" t="s">
        <v>574</v>
      </c>
      <c r="U33" s="280" t="s">
        <v>573</v>
      </c>
      <c r="V33" s="280"/>
      <c r="W33" s="280" t="s">
        <v>574</v>
      </c>
      <c r="X33" s="280" t="s">
        <v>574</v>
      </c>
      <c r="Y33" s="280" t="s">
        <v>587</v>
      </c>
      <c r="Z33" s="280" t="s">
        <v>574</v>
      </c>
      <c r="AA33" s="280" t="s">
        <v>588</v>
      </c>
      <c r="AB33" s="280" t="s">
        <v>588</v>
      </c>
      <c r="AC33" s="280" t="s">
        <v>574</v>
      </c>
      <c r="AD33" s="280" t="s">
        <v>588</v>
      </c>
      <c r="AE33" s="280" t="s">
        <v>589</v>
      </c>
      <c r="AF33" s="280" t="s">
        <v>587</v>
      </c>
      <c r="AG33" s="458" t="s">
        <v>573</v>
      </c>
      <c r="AH33" s="459"/>
      <c r="AI33" s="280" t="s">
        <v>588</v>
      </c>
      <c r="AJ33" s="280" t="s">
        <v>591</v>
      </c>
      <c r="AK33" s="280" t="s">
        <v>574</v>
      </c>
      <c r="AL33" s="280" t="s">
        <v>574</v>
      </c>
      <c r="AM33" s="280"/>
      <c r="AN33" s="280" t="s">
        <v>588</v>
      </c>
      <c r="AO33" s="280"/>
      <c r="AP33" s="280"/>
      <c r="AQ33" s="280"/>
      <c r="AR33" s="280"/>
      <c r="AS33" s="280"/>
      <c r="AT33" s="280"/>
      <c r="AU33" s="280"/>
      <c r="AV33" s="280"/>
      <c r="AW33" s="280"/>
      <c r="AX33" s="280"/>
      <c r="AY33" s="280"/>
      <c r="BC33" s="351" t="s">
        <v>449</v>
      </c>
      <c r="BD33" s="364">
        <v>48</v>
      </c>
      <c r="BF33" s="351" t="s">
        <v>449</v>
      </c>
      <c r="BG33" s="364">
        <v>153</v>
      </c>
      <c r="BL33" s="305"/>
      <c r="BQ33" s="277"/>
      <c r="BY33" s="283" t="s">
        <v>524</v>
      </c>
      <c r="CB33" s="289" t="s">
        <v>538</v>
      </c>
      <c r="CC33" s="288"/>
    </row>
    <row r="34" spans="1:86" ht="12.75" customHeight="1" x14ac:dyDescent="0.2">
      <c r="A34" s="351" t="s">
        <v>404</v>
      </c>
      <c r="B34" s="280" t="s">
        <v>416</v>
      </c>
      <c r="C34" s="280">
        <v>0</v>
      </c>
      <c r="D34" s="405">
        <v>0</v>
      </c>
      <c r="E34" s="293"/>
      <c r="F34" s="278"/>
      <c r="G34" s="278"/>
      <c r="H34" s="279"/>
      <c r="L34" s="304"/>
      <c r="N34" s="277"/>
      <c r="O34" s="280" t="s">
        <v>683</v>
      </c>
      <c r="P34" s="280"/>
      <c r="Q34" s="280"/>
      <c r="R34" s="280"/>
      <c r="S34" s="280"/>
      <c r="T34" s="280"/>
      <c r="U34" s="280"/>
      <c r="V34" s="280"/>
      <c r="W34" s="280">
        <v>0.35</v>
      </c>
      <c r="X34" s="280">
        <v>0.35</v>
      </c>
      <c r="Y34" s="280">
        <v>0.35</v>
      </c>
      <c r="Z34" s="280">
        <v>0.35</v>
      </c>
      <c r="AA34" s="280">
        <v>0.35</v>
      </c>
      <c r="AB34" s="280"/>
      <c r="AC34" s="280"/>
      <c r="AD34" s="280">
        <v>0.35</v>
      </c>
      <c r="AE34" s="280">
        <v>0.35</v>
      </c>
      <c r="AF34" s="280">
        <v>0.35</v>
      </c>
      <c r="AG34" s="458">
        <v>0.35</v>
      </c>
      <c r="AH34" s="459"/>
      <c r="AI34" s="280">
        <v>0.35</v>
      </c>
      <c r="AJ34" s="280">
        <v>0.35</v>
      </c>
      <c r="AK34" s="280">
        <v>0.35</v>
      </c>
      <c r="AL34" s="280">
        <v>0.35</v>
      </c>
      <c r="AM34" s="280"/>
      <c r="AN34" s="280">
        <v>0.35</v>
      </c>
      <c r="AO34" s="280"/>
      <c r="AP34" s="280"/>
      <c r="AQ34" s="280"/>
      <c r="AR34" s="280"/>
      <c r="AS34" s="280"/>
      <c r="AT34" s="280"/>
      <c r="AU34" s="280"/>
      <c r="AV34" s="280"/>
      <c r="AW34" s="280"/>
      <c r="AX34" s="280"/>
      <c r="AY34" s="280"/>
      <c r="BC34" s="352" t="s">
        <v>450</v>
      </c>
      <c r="BD34" s="365">
        <v>30</v>
      </c>
      <c r="BF34" s="352" t="s">
        <v>450</v>
      </c>
      <c r="BG34" s="365">
        <v>60</v>
      </c>
      <c r="BL34" s="305"/>
      <c r="BM34" s="324" t="s">
        <v>874</v>
      </c>
      <c r="BN34" s="229"/>
      <c r="BO34" s="229"/>
      <c r="BP34" s="229"/>
      <c r="BQ34" s="325"/>
      <c r="BR34" s="229"/>
      <c r="BS34" s="229"/>
      <c r="BT34" s="229"/>
      <c r="BU34" s="229"/>
      <c r="BY34" s="280" t="s">
        <v>525</v>
      </c>
      <c r="BZ34" s="280" t="s">
        <v>537</v>
      </c>
      <c r="CB34" s="280" t="s">
        <v>525</v>
      </c>
      <c r="CC34" s="280" t="s">
        <v>537</v>
      </c>
    </row>
    <row r="35" spans="1:86" ht="12.75" customHeight="1" x14ac:dyDescent="0.2">
      <c r="A35" s="351" t="s">
        <v>405</v>
      </c>
      <c r="B35" s="280" t="s">
        <v>201</v>
      </c>
      <c r="C35" s="280">
        <v>0</v>
      </c>
      <c r="D35" s="405">
        <v>0</v>
      </c>
      <c r="E35" s="293"/>
      <c r="F35" s="278"/>
      <c r="G35" s="278"/>
      <c r="H35" s="279"/>
      <c r="L35" s="304"/>
      <c r="N35" s="277"/>
      <c r="O35" s="280" t="s">
        <v>686</v>
      </c>
      <c r="P35" s="280">
        <v>0.4</v>
      </c>
      <c r="Q35" s="280">
        <v>0.4</v>
      </c>
      <c r="R35" s="280">
        <v>0.4</v>
      </c>
      <c r="S35" s="280">
        <v>0.4</v>
      </c>
      <c r="T35" s="280">
        <v>0.4</v>
      </c>
      <c r="U35" s="280">
        <v>0.4</v>
      </c>
      <c r="V35" s="280"/>
      <c r="W35" s="280"/>
      <c r="X35" s="280"/>
      <c r="Y35" s="280"/>
      <c r="Z35" s="280"/>
      <c r="AA35" s="280"/>
      <c r="AB35" s="280">
        <v>0.4</v>
      </c>
      <c r="AC35" s="280">
        <v>0.4</v>
      </c>
      <c r="AD35" s="280"/>
      <c r="AE35" s="280"/>
      <c r="AF35" s="280"/>
      <c r="AG35" s="458"/>
      <c r="AH35" s="459"/>
      <c r="AI35" s="280"/>
      <c r="AJ35" s="280"/>
      <c r="AK35" s="280"/>
      <c r="AL35" s="280"/>
      <c r="AM35" s="280"/>
      <c r="AN35" s="280"/>
      <c r="AO35" s="280"/>
      <c r="AP35" s="280"/>
      <c r="AQ35" s="280"/>
      <c r="AR35" s="280"/>
      <c r="AS35" s="280"/>
      <c r="AT35" s="280"/>
      <c r="AU35" s="280"/>
      <c r="AV35" s="280"/>
      <c r="AW35" s="280"/>
      <c r="AX35" s="280"/>
      <c r="AY35" s="280"/>
      <c r="BC35" s="278"/>
      <c r="BD35" s="288"/>
      <c r="BL35" s="305"/>
      <c r="BM35" s="336" t="s">
        <v>734</v>
      </c>
      <c r="BN35" s="331" t="s">
        <v>720</v>
      </c>
      <c r="BO35" s="331" t="s">
        <v>719</v>
      </c>
      <c r="BP35" s="331" t="s">
        <v>718</v>
      </c>
      <c r="BQ35" s="331" t="s">
        <v>717</v>
      </c>
      <c r="BR35" s="331" t="s">
        <v>716</v>
      </c>
      <c r="BS35" s="331" t="s">
        <v>715</v>
      </c>
      <c r="BT35" s="337" t="s">
        <v>714</v>
      </c>
      <c r="BU35" s="331" t="s">
        <v>728</v>
      </c>
      <c r="BY35" s="280" t="s">
        <v>527</v>
      </c>
      <c r="BZ35" s="280">
        <v>550</v>
      </c>
      <c r="CB35" s="280" t="s">
        <v>527</v>
      </c>
      <c r="CC35" s="280">
        <v>660</v>
      </c>
    </row>
    <row r="36" spans="1:86" ht="12.75" customHeight="1" x14ac:dyDescent="0.2">
      <c r="A36" s="351" t="s">
        <v>554</v>
      </c>
      <c r="B36" s="280" t="s">
        <v>565</v>
      </c>
      <c r="C36" s="280">
        <v>2500</v>
      </c>
      <c r="D36" s="405">
        <v>0.05</v>
      </c>
      <c r="E36" s="283" t="s">
        <v>570</v>
      </c>
      <c r="F36" s="289"/>
      <c r="G36" s="278"/>
      <c r="H36" s="279"/>
      <c r="N36" s="277"/>
      <c r="O36" s="280" t="s">
        <v>687</v>
      </c>
      <c r="P36" s="280">
        <v>0.4</v>
      </c>
      <c r="Q36" s="280">
        <v>0.4</v>
      </c>
      <c r="R36" s="280">
        <v>0.4</v>
      </c>
      <c r="S36" s="280">
        <v>0.4</v>
      </c>
      <c r="T36" s="280">
        <v>0.4</v>
      </c>
      <c r="U36" s="280">
        <v>0.4</v>
      </c>
      <c r="V36" s="280"/>
      <c r="W36" s="280"/>
      <c r="X36" s="280"/>
      <c r="Y36" s="280"/>
      <c r="Z36" s="280"/>
      <c r="AA36" s="280"/>
      <c r="AB36" s="280">
        <v>0.4</v>
      </c>
      <c r="AC36" s="280">
        <v>0.4</v>
      </c>
      <c r="AD36" s="280"/>
      <c r="AE36" s="280"/>
      <c r="AF36" s="280"/>
      <c r="AG36" s="458"/>
      <c r="AH36" s="459"/>
      <c r="AI36" s="280"/>
      <c r="AJ36" s="280"/>
      <c r="AK36" s="280"/>
      <c r="AL36" s="280"/>
      <c r="AM36" s="280"/>
      <c r="AN36" s="280"/>
      <c r="AO36" s="280"/>
      <c r="AP36" s="280"/>
      <c r="AQ36" s="280"/>
      <c r="AR36" s="280"/>
      <c r="AS36" s="280"/>
      <c r="AT36" s="280"/>
      <c r="AU36" s="280"/>
      <c r="AV36" s="280"/>
      <c r="AW36" s="280"/>
      <c r="AX36" s="280"/>
      <c r="AY36" s="280"/>
      <c r="BC36" s="289" t="s">
        <v>451</v>
      </c>
      <c r="BD36" s="288"/>
      <c r="BF36" s="289" t="s">
        <v>427</v>
      </c>
      <c r="BG36" s="288"/>
      <c r="BL36" s="305"/>
      <c r="BM36" s="332" t="s">
        <v>384</v>
      </c>
      <c r="BN36" s="332">
        <f t="array" ref="BN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36 et plus],MATCH(ChoixRationBisons&amp;$BM36,Règles_bison[Ration]&amp;Règles_bison[Aliment],0)),0),0)*TotalBisonsMalesAdultes*NbreJoursNourrirBisonsDaims)</f>
        <v>0</v>
      </c>
      <c r="BO36" s="332">
        <f t="array" ref="BO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24-36],MATCH(ChoixRationBisons&amp;$BM36,Règles_bison[Ration]&amp;Règles_bison[Aliment],0)),0),0)*TotalBisonsMales_24_36_mois*NbreJoursNourrirBisonsDaims)</f>
        <v>0</v>
      </c>
      <c r="BP36" s="332">
        <f t="array" ref="BP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18-24],MATCH(ChoixRationBisons&amp;$BM36,Règles_bison[Ration]&amp;Règles_bison[Aliment],0)),0),0)*TotalBisonsMales_18_24_mois*NbreJoursNourrirBisonsDaims)</f>
        <v>0</v>
      </c>
      <c r="BQ36" s="332">
        <f t="array" ref="BQ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12-18],MATCH(ChoixRationBisons&amp;$BM36,Règles_bison[Ration]&amp;Règles_bison[Aliment],0)),0),0)*TotalBisonsMales_12_18_mois*NbreJoursNourrirBisonsDaims)</f>
        <v>0</v>
      </c>
      <c r="BR36" s="332">
        <f t="array" ref="BR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6-12],MATCH(ChoixRationBisons&amp;$BM36,Règles_bison[Ration]&amp;Règles_bison[Aliment],0)),0),0)*TotalBisonsMales_6_12_mois*NbreJoursNourrirBisonsDaims)</f>
        <v>0</v>
      </c>
      <c r="BS36" s="332">
        <f t="array" ref="BS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3-6],MATCH(ChoixRationBisons&amp;$BM36,Règles_bison[Ration]&amp;Règles_bison[Aliment],0)),0),0)*TotalBisonsMales_3_6_mois*NbreJoursNourrirBisonsDaims)</f>
        <v>0</v>
      </c>
      <c r="BT36" s="332">
        <f t="array" ref="BT36">IF(Ration_hivernale_complète_bisons[somme]&gt;0,0,IFERROR(IF(OR(AND(INDEX(Règles_bison[Specificite],MATCH(ChoixRationBisons&amp;$BM36,Règles_bison[Ration]&amp;Règles_bison[Aliment],0))="s1",IF($BM36=ChoixSpécificité1Bisons,1)),
INDEX(Règles_bison[Specificite],MATCH(ChoixRationBisons&amp;$BM36,Règles_bison[Ration]&amp;Règles_bison[Aliment],0))="c"),
INDEX(Règles_bison[Valeur 0-3],MATCH(ChoixRationBisons&amp;$BM36,Règles_bison[Ration]&amp;Règles_bison[Aliment],0)),0),0)*TotalBisonsMales_0_3_mois*NbreJoursNourrirBisonsDaims)</f>
        <v>0</v>
      </c>
      <c r="BU36" s="332">
        <f t="shared" ref="BU36:BU69" si="0">SUM($BN36:$BT36)</f>
        <v>0</v>
      </c>
      <c r="BY36" s="280" t="s">
        <v>528</v>
      </c>
      <c r="BZ36" s="280">
        <v>560</v>
      </c>
      <c r="CB36" s="280" t="s">
        <v>528</v>
      </c>
      <c r="CC36" s="280">
        <v>672</v>
      </c>
    </row>
    <row r="37" spans="1:86" ht="12.75" customHeight="1" x14ac:dyDescent="0.2">
      <c r="A37" s="351" t="s">
        <v>555</v>
      </c>
      <c r="B37" s="280" t="s">
        <v>565</v>
      </c>
      <c r="C37" s="280">
        <v>2500</v>
      </c>
      <c r="D37" s="405">
        <v>0.05</v>
      </c>
      <c r="E37" s="283" t="s">
        <v>570</v>
      </c>
      <c r="F37" s="289" t="s">
        <v>484</v>
      </c>
      <c r="H37" s="288"/>
      <c r="N37" s="277"/>
      <c r="O37" s="280" t="s">
        <v>688</v>
      </c>
      <c r="P37" s="280">
        <v>0.35</v>
      </c>
      <c r="Q37" s="280">
        <v>0.35</v>
      </c>
      <c r="R37" s="280">
        <v>0.35</v>
      </c>
      <c r="S37" s="280">
        <v>0.35</v>
      </c>
      <c r="T37" s="280">
        <v>0.35</v>
      </c>
      <c r="U37" s="280">
        <v>0.35</v>
      </c>
      <c r="V37" s="280"/>
      <c r="W37" s="280"/>
      <c r="X37" s="280"/>
      <c r="Y37" s="280"/>
      <c r="Z37" s="280"/>
      <c r="AA37" s="280"/>
      <c r="AB37" s="280">
        <v>0.35</v>
      </c>
      <c r="AC37" s="280">
        <v>0.35</v>
      </c>
      <c r="AD37" s="280"/>
      <c r="AE37" s="280"/>
      <c r="AF37" s="280"/>
      <c r="AG37" s="458"/>
      <c r="AH37" s="459"/>
      <c r="AI37" s="280"/>
      <c r="AJ37" s="280"/>
      <c r="AK37" s="280"/>
      <c r="AL37" s="280"/>
      <c r="AM37" s="280"/>
      <c r="AN37" s="280"/>
      <c r="AO37" s="280"/>
      <c r="AP37" s="280"/>
      <c r="AQ37" s="280"/>
      <c r="AR37" s="280"/>
      <c r="AS37" s="280"/>
      <c r="AT37" s="280"/>
      <c r="AU37" s="280"/>
      <c r="AV37" s="280"/>
      <c r="AW37" s="280"/>
      <c r="AX37" s="280"/>
      <c r="AY37" s="280"/>
      <c r="BC37" s="284" t="s">
        <v>446</v>
      </c>
      <c r="BD37" s="285">
        <v>15</v>
      </c>
      <c r="BF37" s="284" t="s">
        <v>428</v>
      </c>
      <c r="BG37" s="285">
        <v>88</v>
      </c>
      <c r="BL37" s="305"/>
      <c r="BM37" s="332" t="s">
        <v>297</v>
      </c>
      <c r="BN37" s="332">
        <f t="array" ref="BN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36 et plus],MATCH(ChoixRationBisons&amp;$BM37,Règles_bison[Ration]&amp;Règles_bison[Aliment],0)),0),0)*TotalBisonsMalesAdultes*NbreJoursNourrirBisonsDaims)</f>
        <v>0</v>
      </c>
      <c r="BO37" s="332">
        <f t="array" ref="BO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24-36],MATCH(ChoixRationBisons&amp;$BM37,Règles_bison[Ration]&amp;Règles_bison[Aliment],0)),0),0)*TotalBisonsMales_24_36_mois*NbreJoursNourrirBisonsDaims)</f>
        <v>0</v>
      </c>
      <c r="BP37" s="332">
        <f t="array" ref="BP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18-24],MATCH(ChoixRationBisons&amp;$BM37,Règles_bison[Ration]&amp;Règles_bison[Aliment],0)),0),0)*TotalBisonsMales_18_24_mois*NbreJoursNourrirBisonsDaims)</f>
        <v>0</v>
      </c>
      <c r="BQ37" s="332">
        <f t="array" ref="BQ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12-18],MATCH(ChoixRationBisons&amp;$BM37,Règles_bison[Ration]&amp;Règles_bison[Aliment],0)),0),0)*TotalBisonsMales_12_18_mois*NbreJoursNourrirBisonsDaims)</f>
        <v>0</v>
      </c>
      <c r="BR37" s="332">
        <f t="array" ref="BR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6-12],MATCH(ChoixRationBisons&amp;$BM37,Règles_bison[Ration]&amp;Règles_bison[Aliment],0)),0),0)*TotalBisonsMales_6_12_mois*NbreJoursNourrirBisonsDaims)</f>
        <v>0</v>
      </c>
      <c r="BS37" s="332">
        <f t="array" ref="BS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3-6],MATCH(ChoixRationBisons&amp;$BM37,Règles_bison[Ration]&amp;Règles_bison[Aliment],0)),0),0)*TotalBisonsMales_3_6_mois*NbreJoursNourrirBisonsDaims)</f>
        <v>0</v>
      </c>
      <c r="BT37" s="332">
        <f t="array" ref="BT37">IF(Ration_hivernale_complète_bisons[somme]&gt;0,0,IFERROR(IF(OR(AND(INDEX(Règles_bison[Specificite],MATCH(ChoixRationBisons&amp;$BM37,Règles_bison[Ration]&amp;Règles_bison[Aliment],0))="s1",IF($BM37=ChoixSpécificité1Bisons,1)),
INDEX(Règles_bison[Specificite],MATCH(ChoixRationBisons&amp;$BM37,Règles_bison[Ration]&amp;Règles_bison[Aliment],0))="c"),
INDEX(Règles_bison[Valeur 0-3],MATCH(ChoixRationBisons&amp;$BM37,Règles_bison[Ration]&amp;Règles_bison[Aliment],0)),0),0)*TotalBisonsMales_0_3_mois*NbreJoursNourrirBisonsDaims)</f>
        <v>0</v>
      </c>
      <c r="BU37" s="332">
        <f t="shared" si="0"/>
        <v>0</v>
      </c>
      <c r="BY37" s="280" t="s">
        <v>529</v>
      </c>
      <c r="BZ37" s="280">
        <v>570</v>
      </c>
      <c r="CB37" s="280" t="s">
        <v>529</v>
      </c>
      <c r="CC37" s="280">
        <v>684</v>
      </c>
    </row>
    <row r="38" spans="1:86" ht="12.75" customHeight="1" x14ac:dyDescent="0.2">
      <c r="A38" s="351" t="s">
        <v>556</v>
      </c>
      <c r="B38" s="280" t="s">
        <v>565</v>
      </c>
      <c r="C38" s="280">
        <v>2500</v>
      </c>
      <c r="D38" s="405">
        <v>0.05</v>
      </c>
      <c r="E38" s="283" t="s">
        <v>570</v>
      </c>
      <c r="F38" s="284" t="s">
        <v>485</v>
      </c>
      <c r="G38" s="285" t="s">
        <v>487</v>
      </c>
      <c r="H38" s="280" t="s">
        <v>98</v>
      </c>
      <c r="I38" s="280" t="s">
        <v>163</v>
      </c>
      <c r="N38" s="277"/>
      <c r="O38" s="280" t="s">
        <v>684</v>
      </c>
      <c r="P38" s="280">
        <v>100</v>
      </c>
      <c r="Q38" s="280">
        <v>105</v>
      </c>
      <c r="R38" s="280">
        <v>105</v>
      </c>
      <c r="S38" s="280">
        <v>95</v>
      </c>
      <c r="T38" s="280">
        <v>95</v>
      </c>
      <c r="U38" s="280">
        <v>125</v>
      </c>
      <c r="V38" s="280"/>
      <c r="W38" s="280">
        <v>110</v>
      </c>
      <c r="X38" s="280">
        <v>45</v>
      </c>
      <c r="Y38" s="280">
        <v>120</v>
      </c>
      <c r="Z38" s="280">
        <v>220</v>
      </c>
      <c r="AA38" s="280">
        <v>230</v>
      </c>
      <c r="AB38" s="280">
        <v>120</v>
      </c>
      <c r="AC38" s="280">
        <v>145</v>
      </c>
      <c r="AD38" s="280">
        <v>165</v>
      </c>
      <c r="AE38" s="280">
        <v>1300</v>
      </c>
      <c r="AF38" s="280">
        <v>80</v>
      </c>
      <c r="AG38" s="458">
        <v>350</v>
      </c>
      <c r="AH38" s="459"/>
      <c r="AI38" s="280">
        <v>120</v>
      </c>
      <c r="AJ38" s="280">
        <v>195</v>
      </c>
      <c r="AK38" s="280">
        <v>1220</v>
      </c>
      <c r="AL38" s="280">
        <v>50</v>
      </c>
      <c r="AM38" s="280"/>
      <c r="AN38" s="280">
        <v>4500</v>
      </c>
      <c r="AO38" s="280">
        <f>AVERAGE(0.51,0.65)</f>
        <v>0.58000000000000007</v>
      </c>
      <c r="AP38" s="280">
        <f>AVERAGE(0.55,0.95)</f>
        <v>0.75</v>
      </c>
      <c r="AQ38" s="280">
        <f>AVERAGE(1.25,1.9)</f>
        <v>1.575</v>
      </c>
      <c r="AR38" s="280">
        <f>AVERAGE(1.9,2.1)</f>
        <v>2</v>
      </c>
      <c r="AS38" s="280">
        <f>AVERAGE(0.9,1.1)</f>
        <v>1</v>
      </c>
      <c r="AT38" s="280">
        <f>AVERAGE(1.2,1.5)</f>
        <v>1.35</v>
      </c>
      <c r="AU38" s="280">
        <f>AVERAGE(3.8,4)</f>
        <v>3.9</v>
      </c>
      <c r="AV38" s="280">
        <f>AVERAGE(4,4.2)</f>
        <v>4.0999999999999996</v>
      </c>
      <c r="AW38" s="280">
        <f>AVERAGE(6.3,6.5)</f>
        <v>6.4</v>
      </c>
      <c r="AX38" s="280">
        <f>AVERAGE(3.8,4)</f>
        <v>3.9</v>
      </c>
      <c r="AY38" s="280">
        <f>AVERAGE(4,4.2)</f>
        <v>4.0999999999999996</v>
      </c>
      <c r="BC38" s="284" t="s">
        <v>447</v>
      </c>
      <c r="BD38" s="285">
        <v>12</v>
      </c>
      <c r="BF38" s="284" t="s">
        <v>429</v>
      </c>
      <c r="BG38" s="285">
        <v>80</v>
      </c>
      <c r="BL38" s="305"/>
      <c r="BM38" s="332" t="s">
        <v>160</v>
      </c>
      <c r="BN38" s="332">
        <f t="array" ref="BN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36 et plus],MATCH(ChoixRationBisons&amp;$BM38,Règles_bison[Ration]&amp;Règles_bison[Aliment],0)),0),0)*TotalBisonsMalesAdultes*NbreJoursNourrirBisonsDaims)</f>
        <v>0</v>
      </c>
      <c r="BO38" s="332">
        <f t="array" ref="BO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24-36],MATCH(ChoixRationBisons&amp;$BM38,Règles_bison[Ration]&amp;Règles_bison[Aliment],0)),0),0)*TotalBisonsMales_24_36_mois*NbreJoursNourrirBisonsDaims)</f>
        <v>0</v>
      </c>
      <c r="BP38" s="332">
        <f t="array" ref="BP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18-24],MATCH(ChoixRationBisons&amp;$BM38,Règles_bison[Ration]&amp;Règles_bison[Aliment],0)),0),0)*TotalBisonsMales_18_24_mois*NbreJoursNourrirBisonsDaims)</f>
        <v>0</v>
      </c>
      <c r="BQ38" s="332">
        <f t="array" ref="BQ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12-18],MATCH(ChoixRationBisons&amp;$BM38,Règles_bison[Ration]&amp;Règles_bison[Aliment],0)),0),0)*TotalBisonsMales_12_18_mois*NbreJoursNourrirBisonsDaims)</f>
        <v>0</v>
      </c>
      <c r="BR38" s="332">
        <f t="array" ref="BR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6-12],MATCH(ChoixRationBisons&amp;$BM38,Règles_bison[Ration]&amp;Règles_bison[Aliment],0)),0),0)*TotalBisonsMales_6_12_mois*NbreJoursNourrirBisonsDaims)</f>
        <v>0</v>
      </c>
      <c r="BS38" s="332">
        <f t="array" ref="BS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3-6],MATCH(ChoixRationBisons&amp;$BM38,Règles_bison[Ration]&amp;Règles_bison[Aliment],0)),0),0)*TotalBisonsMales_3_6_mois*NbreJoursNourrirBisonsDaims)</f>
        <v>0</v>
      </c>
      <c r="BT38" s="332">
        <f t="array" ref="BT38">IF(Ration_hivernale_complète_bisons[somme]&gt;0,0,IFERROR(IF(OR(AND(INDEX(Règles_bison[Specificite],MATCH(ChoixRationBisons&amp;$BM38,Règles_bison[Ration]&amp;Règles_bison[Aliment],0))="s1",IF($BM38=ChoixSpécificité1Bisons,1)),
INDEX(Règles_bison[Specificite],MATCH(ChoixRationBisons&amp;$BM38,Règles_bison[Ration]&amp;Règles_bison[Aliment],0))="c"),
INDEX(Règles_bison[Valeur 0-3],MATCH(ChoixRationBisons&amp;$BM38,Règles_bison[Ration]&amp;Règles_bison[Aliment],0)),0),0)*TotalBisonsMales_0_3_mois*NbreJoursNourrirBisonsDaims)</f>
        <v>0</v>
      </c>
      <c r="BU38" s="332">
        <f t="shared" si="0"/>
        <v>0</v>
      </c>
      <c r="BY38" s="280" t="s">
        <v>530</v>
      </c>
      <c r="BZ38" s="280">
        <v>580</v>
      </c>
      <c r="CB38" s="280" t="s">
        <v>530</v>
      </c>
      <c r="CC38" s="280">
        <v>696</v>
      </c>
    </row>
    <row r="39" spans="1:86" ht="12.75" customHeight="1" x14ac:dyDescent="0.2">
      <c r="A39" s="351" t="s">
        <v>557</v>
      </c>
      <c r="B39" s="280" t="s">
        <v>144</v>
      </c>
      <c r="C39" s="280">
        <v>0.1</v>
      </c>
      <c r="D39" s="405">
        <v>2.5000000000000001E-2</v>
      </c>
      <c r="F39" s="280" t="s">
        <v>488</v>
      </c>
      <c r="G39" s="280"/>
      <c r="H39" s="280">
        <v>5</v>
      </c>
      <c r="I39" s="280"/>
      <c r="N39" s="277"/>
      <c r="O39" s="280" t="s">
        <v>685</v>
      </c>
      <c r="P39" s="280">
        <v>70</v>
      </c>
      <c r="Q39" s="280">
        <v>70</v>
      </c>
      <c r="R39" s="280">
        <v>70</v>
      </c>
      <c r="S39" s="280">
        <v>70</v>
      </c>
      <c r="T39" s="280">
        <v>70</v>
      </c>
      <c r="U39" s="280">
        <v>70</v>
      </c>
      <c r="V39" s="280"/>
      <c r="W39" s="280"/>
      <c r="X39" s="280"/>
      <c r="Y39" s="280"/>
      <c r="Z39" s="280"/>
      <c r="AA39" s="280"/>
      <c r="AB39" s="280">
        <v>70</v>
      </c>
      <c r="AC39" s="280">
        <v>70</v>
      </c>
      <c r="AD39" s="280"/>
      <c r="AE39" s="280"/>
      <c r="AF39" s="280"/>
      <c r="AG39" s="458">
        <v>120</v>
      </c>
      <c r="AH39" s="459"/>
      <c r="AI39" s="280"/>
      <c r="AJ39" s="280"/>
      <c r="AK39" s="280"/>
      <c r="AL39" s="280"/>
      <c r="AM39" s="280"/>
      <c r="AN39" s="280"/>
      <c r="AO39" s="280"/>
      <c r="AP39" s="280"/>
      <c r="AQ39" s="280"/>
      <c r="AR39" s="280"/>
      <c r="AS39" s="280"/>
      <c r="AT39" s="280"/>
      <c r="AU39" s="280"/>
      <c r="AV39" s="280"/>
      <c r="AW39" s="280"/>
      <c r="AX39" s="280"/>
      <c r="AY39" s="280"/>
      <c r="BC39" s="284" t="s">
        <v>448</v>
      </c>
      <c r="BD39" s="285">
        <v>8</v>
      </c>
      <c r="BF39" s="284" t="s">
        <v>430</v>
      </c>
      <c r="BG39" s="285">
        <v>80</v>
      </c>
      <c r="BL39" s="305"/>
      <c r="BM39" s="332" t="s">
        <v>441</v>
      </c>
      <c r="BN39" s="332">
        <f t="array" ref="BN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36 et plus],MATCH(ChoixRationBisons&amp;$BM39,Règles_bison[Ration]&amp;Règles_bison[Aliment],0)),0),0)*TotalBisonsMalesAdultes*NbreJoursNourrirBisonsDaims)</f>
        <v>0</v>
      </c>
      <c r="BO39" s="332">
        <f t="array" ref="BO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24-36],MATCH(ChoixRationBisons&amp;$BM39,Règles_bison[Ration]&amp;Règles_bison[Aliment],0)),0),0)*TotalBisonsMales_24_36_mois*NbreJoursNourrirBisonsDaims)</f>
        <v>0</v>
      </c>
      <c r="BP39" s="332">
        <f t="array" ref="BP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18-24],MATCH(ChoixRationBisons&amp;$BM39,Règles_bison[Ration]&amp;Règles_bison[Aliment],0)),0),0)*TotalBisonsMales_18_24_mois*NbreJoursNourrirBisonsDaims)</f>
        <v>0</v>
      </c>
      <c r="BQ39" s="332">
        <f t="array" ref="BQ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12-18],MATCH(ChoixRationBisons&amp;$BM39,Règles_bison[Ration]&amp;Règles_bison[Aliment],0)),0),0)*TotalBisonsMales_12_18_mois*NbreJoursNourrirBisonsDaims)</f>
        <v>0</v>
      </c>
      <c r="BR39" s="332">
        <f t="array" ref="BR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6-12],MATCH(ChoixRationBisons&amp;$BM39,Règles_bison[Ration]&amp;Règles_bison[Aliment],0)),0),0)*TotalBisonsMales_6_12_mois*NbreJoursNourrirBisonsDaims)</f>
        <v>0</v>
      </c>
      <c r="BS39" s="332">
        <f t="array" ref="BS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3-6],MATCH(ChoixRationBisons&amp;$BM39,Règles_bison[Ration]&amp;Règles_bison[Aliment],0)),0),0)*TotalBisonsMales_3_6_mois*NbreJoursNourrirBisonsDaims)</f>
        <v>0</v>
      </c>
      <c r="BT39" s="332">
        <f t="array" ref="BT39">IF(Ration_hivernale_complète_bisons[somme]&gt;0,0,IFERROR(IF(OR(AND(INDEX(Règles_bison[Specificite],MATCH(ChoixRationBisons&amp;$BM39,Règles_bison[Ration]&amp;Règles_bison[Aliment],0))="s1",IF($BM39=ChoixSpécificité1Bisons,1)),
INDEX(Règles_bison[Specificite],MATCH(ChoixRationBisons&amp;$BM39,Règles_bison[Ration]&amp;Règles_bison[Aliment],0))="c"),
INDEX(Règles_bison[Valeur 0-3],MATCH(ChoixRationBisons&amp;$BM39,Règles_bison[Ration]&amp;Règles_bison[Aliment],0)),0),0)*TotalBisonsMales_0_3_mois*NbreJoursNourrirBisonsDaims)</f>
        <v>0</v>
      </c>
      <c r="BU39" s="332">
        <f t="shared" si="0"/>
        <v>0</v>
      </c>
      <c r="BY39" s="280" t="s">
        <v>531</v>
      </c>
      <c r="BZ39" s="280">
        <v>590</v>
      </c>
      <c r="CB39" s="280" t="s">
        <v>531</v>
      </c>
      <c r="CC39" s="280">
        <v>708</v>
      </c>
    </row>
    <row r="40" spans="1:86" ht="12.75" customHeight="1" x14ac:dyDescent="0.2">
      <c r="A40" s="351" t="s">
        <v>558</v>
      </c>
      <c r="B40" s="280" t="s">
        <v>144</v>
      </c>
      <c r="C40" s="280">
        <v>0.1</v>
      </c>
      <c r="D40" s="405">
        <v>0</v>
      </c>
      <c r="F40" s="280" t="s">
        <v>489</v>
      </c>
      <c r="G40" s="280"/>
      <c r="H40" s="280"/>
      <c r="I40" s="280">
        <v>3</v>
      </c>
      <c r="N40" s="277"/>
      <c r="O40" s="283" t="str">
        <f>UPPER("France")</f>
        <v>FRANCE</v>
      </c>
      <c r="AO40" s="277"/>
      <c r="AP40" s="277"/>
      <c r="AQ40" s="277"/>
      <c r="AR40" s="277"/>
      <c r="AS40" s="277"/>
      <c r="AT40" s="277"/>
      <c r="AU40" s="277"/>
      <c r="AV40" s="277"/>
      <c r="AW40" s="277"/>
      <c r="AX40" s="277"/>
      <c r="AY40" s="277"/>
      <c r="BC40" s="284" t="s">
        <v>449</v>
      </c>
      <c r="BD40" s="285">
        <v>8</v>
      </c>
      <c r="BF40" s="284" t="s">
        <v>431</v>
      </c>
      <c r="BG40" s="285">
        <v>72</v>
      </c>
      <c r="BL40" s="305"/>
      <c r="BM40" s="332" t="s">
        <v>729</v>
      </c>
      <c r="BN40" s="332">
        <f t="array" ref="BN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36 et plus],MATCH(ChoixRationBisons&amp;$BM40,Règles_bison[Ration]&amp;Règles_bison[Aliment],0)),0),0)*TotalBisonsMalesAdultes*NbreJoursNourrirBisonsDaims)</f>
        <v>0</v>
      </c>
      <c r="BO40" s="332">
        <f t="array" ref="BO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24-36],MATCH(ChoixRationBisons&amp;$BM40,Règles_bison[Ration]&amp;Règles_bison[Aliment],0)),0),0)*TotalBisonsMales_24_36_mois*NbreJoursNourrirBisonsDaims)</f>
        <v>0</v>
      </c>
      <c r="BP40" s="332">
        <f t="array" ref="BP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18-24],MATCH(ChoixRationBisons&amp;$BM40,Règles_bison[Ration]&amp;Règles_bison[Aliment],0)),0),0)*TotalBisonsMales_18_24_mois*NbreJoursNourrirBisonsDaims)</f>
        <v>0</v>
      </c>
      <c r="BQ40" s="332">
        <f t="array" ref="BQ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12-18],MATCH(ChoixRationBisons&amp;$BM40,Règles_bison[Ration]&amp;Règles_bison[Aliment],0)),0),0)*TotalBisonsMales_12_18_mois*NbreJoursNourrirBisonsDaims)</f>
        <v>0</v>
      </c>
      <c r="BR40" s="332">
        <f t="array" ref="BR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6-12],MATCH(ChoixRationBisons&amp;$BM40,Règles_bison[Ration]&amp;Règles_bison[Aliment],0)),0),0)*TotalBisonsMales_6_12_mois*NbreJoursNourrirBisonsDaims)</f>
        <v>0</v>
      </c>
      <c r="BS40" s="332">
        <f t="array" ref="BS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3-6],MATCH(ChoixRationBisons&amp;$BM40,Règles_bison[Ration]&amp;Règles_bison[Aliment],0)),0),0)*TotalBisonsMales_3_6_mois*NbreJoursNourrirBisonsDaims)</f>
        <v>0</v>
      </c>
      <c r="BT40" s="332">
        <f t="array" ref="BT40">IF(Ration_hivernale_complète_bisons[somme]&gt;0,0,IFERROR(IF(OR(AND(INDEX(Règles_bison[Specificite],MATCH(ChoixRationBisons&amp;$BM40,Règles_bison[Ration]&amp;Règles_bison[Aliment],0))="s1",IF($BM40=ChoixSpécificité1Bisons,1)),
INDEX(Règles_bison[Specificite],MATCH(ChoixRationBisons&amp;$BM40,Règles_bison[Ration]&amp;Règles_bison[Aliment],0))="c"),
INDEX(Règles_bison[Valeur 0-3],MATCH(ChoixRationBisons&amp;$BM40,Règles_bison[Ration]&amp;Règles_bison[Aliment],0)),0),0)*TotalBisonsMales_0_3_mois*NbreJoursNourrirBisonsDaims)</f>
        <v>0</v>
      </c>
      <c r="BU40" s="332">
        <f t="shared" si="0"/>
        <v>0</v>
      </c>
      <c r="BY40" s="280" t="s">
        <v>532</v>
      </c>
      <c r="BZ40" s="280">
        <v>600</v>
      </c>
      <c r="CB40" s="280" t="s">
        <v>532</v>
      </c>
      <c r="CC40" s="280">
        <v>720</v>
      </c>
    </row>
    <row r="41" spans="1:86" ht="12.75" customHeight="1" x14ac:dyDescent="0.2">
      <c r="A41" s="351" t="s">
        <v>540</v>
      </c>
      <c r="B41" s="280" t="s">
        <v>201</v>
      </c>
      <c r="C41" s="280">
        <v>0.3</v>
      </c>
      <c r="D41" s="405">
        <v>0</v>
      </c>
      <c r="F41" s="280" t="s">
        <v>490</v>
      </c>
      <c r="G41" s="280"/>
      <c r="H41" s="280"/>
      <c r="I41" s="280">
        <v>3</v>
      </c>
      <c r="N41" s="277"/>
      <c r="O41" s="280" t="s">
        <v>299</v>
      </c>
      <c r="P41" s="280">
        <v>7</v>
      </c>
      <c r="Q41" s="280">
        <v>6</v>
      </c>
      <c r="R41" s="280">
        <v>4.5999999999999996</v>
      </c>
      <c r="S41" s="280">
        <v>4.2</v>
      </c>
      <c r="T41" s="280">
        <v>4</v>
      </c>
      <c r="U41" s="280">
        <v>6.2</v>
      </c>
      <c r="V41" s="280"/>
      <c r="W41" s="280">
        <v>10.8</v>
      </c>
      <c r="X41" s="280">
        <v>13.1</v>
      </c>
      <c r="Y41" s="280">
        <v>75</v>
      </c>
      <c r="Z41" s="280">
        <v>3.7</v>
      </c>
      <c r="AA41" s="280">
        <v>2.5</v>
      </c>
      <c r="AB41" s="280">
        <v>3.3</v>
      </c>
      <c r="AC41" s="280">
        <v>3</v>
      </c>
      <c r="AD41" s="280">
        <v>3.4</v>
      </c>
      <c r="AE41" s="280">
        <v>0</v>
      </c>
      <c r="AF41" s="280">
        <v>41.2</v>
      </c>
      <c r="AG41" s="280">
        <v>0</v>
      </c>
      <c r="AH41" s="280">
        <v>0</v>
      </c>
      <c r="AI41" s="280">
        <v>0</v>
      </c>
      <c r="AJ41" s="280">
        <v>0</v>
      </c>
      <c r="AK41" s="280">
        <v>0</v>
      </c>
      <c r="AL41" s="280">
        <v>8.8000000000000007</v>
      </c>
      <c r="AM41" s="280"/>
      <c r="AN41" s="280">
        <v>2.7</v>
      </c>
      <c r="AO41" s="280">
        <v>28</v>
      </c>
      <c r="AP41" s="280">
        <v>0</v>
      </c>
      <c r="AQ41" s="280">
        <v>0</v>
      </c>
      <c r="AR41" s="280">
        <v>10</v>
      </c>
      <c r="AS41" s="280">
        <v>0</v>
      </c>
      <c r="AT41" s="280">
        <v>4</v>
      </c>
      <c r="AU41" s="280">
        <v>0</v>
      </c>
      <c r="AV41" s="280">
        <v>0</v>
      </c>
      <c r="AW41" s="280">
        <v>8.5</v>
      </c>
      <c r="AX41" s="280">
        <v>10</v>
      </c>
      <c r="AY41" s="280">
        <v>10</v>
      </c>
      <c r="BC41" s="284" t="s">
        <v>450</v>
      </c>
      <c r="BD41" s="285">
        <v>5</v>
      </c>
      <c r="BF41" s="284" t="s">
        <v>432</v>
      </c>
      <c r="BG41" s="285">
        <v>56</v>
      </c>
      <c r="BL41" s="305"/>
      <c r="BM41" s="332" t="s">
        <v>426</v>
      </c>
      <c r="BN41" s="332">
        <f t="array" ref="BN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36 et plus],MATCH(ChoixRationBisons&amp;$BM41,Règles_bison[Ration]&amp;Règles_bison[Aliment],0)),0),0)*TotalBisonsMalesAdultes*NbreJoursNourrirBisonsDaims)</f>
        <v>0</v>
      </c>
      <c r="BO41" s="332">
        <f t="array" ref="BO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24-36],MATCH(ChoixRationBisons&amp;$BM41,Règles_bison[Ration]&amp;Règles_bison[Aliment],0)),0),0)*TotalBisonsMales_24_36_mois*NbreJoursNourrirBisonsDaims)</f>
        <v>0</v>
      </c>
      <c r="BP41" s="332">
        <f t="array" ref="BP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18-24],MATCH(ChoixRationBisons&amp;$BM41,Règles_bison[Ration]&amp;Règles_bison[Aliment],0)),0),0)*TotalBisonsMales_18_24_mois*NbreJoursNourrirBisonsDaims)</f>
        <v>0</v>
      </c>
      <c r="BQ41" s="332">
        <f t="array" ref="BQ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12-18],MATCH(ChoixRationBisons&amp;$BM41,Règles_bison[Ration]&amp;Règles_bison[Aliment],0)),0),0)*TotalBisonsMales_12_18_mois*NbreJoursNourrirBisonsDaims)</f>
        <v>0</v>
      </c>
      <c r="BR41" s="332">
        <f t="array" ref="BR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6-12],MATCH(ChoixRationBisons&amp;$BM41,Règles_bison[Ration]&amp;Règles_bison[Aliment],0)),0),0)*TotalBisonsMales_6_12_mois*NbreJoursNourrirBisonsDaims)</f>
        <v>0</v>
      </c>
      <c r="BS41" s="332">
        <f t="array" ref="BS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3-6],MATCH(ChoixRationBisons&amp;$BM41,Règles_bison[Ration]&amp;Règles_bison[Aliment],0)),0),0)*TotalBisonsMales_3_6_mois*NbreJoursNourrirBisonsDaims)</f>
        <v>0</v>
      </c>
      <c r="BT41" s="332">
        <f t="array" ref="BT41">IF(Ration_hivernale_complète_bisons[somme]&gt;0,0,IFERROR(IF(OR(AND(INDEX(Règles_bison[Specificite],MATCH(ChoixRationBisons&amp;$BM41,Règles_bison[Ration]&amp;Règles_bison[Aliment],0))="s1",IF($BM41=ChoixSpécificité1Bisons,1)),
INDEX(Règles_bison[Specificite],MATCH(ChoixRationBisons&amp;$BM41,Règles_bison[Ration]&amp;Règles_bison[Aliment],0))="c"),
INDEX(Règles_bison[Valeur 0-3],MATCH(ChoixRationBisons&amp;$BM41,Règles_bison[Ration]&amp;Règles_bison[Aliment],0)),0),0)*TotalBisonsMales_0_3_mois*NbreJoursNourrirBisonsDaims)</f>
        <v>0</v>
      </c>
      <c r="BU41" s="332">
        <f t="shared" si="0"/>
        <v>0</v>
      </c>
      <c r="BY41" s="280" t="s">
        <v>533</v>
      </c>
      <c r="BZ41" s="280">
        <v>610</v>
      </c>
      <c r="CB41" s="280" t="s">
        <v>533</v>
      </c>
      <c r="CC41" s="280">
        <v>732</v>
      </c>
    </row>
    <row r="42" spans="1:86" ht="12.75" customHeight="1" x14ac:dyDescent="0.2">
      <c r="A42" s="351" t="s">
        <v>542</v>
      </c>
      <c r="B42" s="280" t="s">
        <v>201</v>
      </c>
      <c r="C42" s="280">
        <v>0.3</v>
      </c>
      <c r="D42" s="405">
        <v>0</v>
      </c>
      <c r="F42" s="280" t="s">
        <v>491</v>
      </c>
      <c r="G42" s="280"/>
      <c r="H42" s="280"/>
      <c r="I42" s="280">
        <v>3</v>
      </c>
      <c r="N42" s="277"/>
      <c r="O42" s="280" t="s">
        <v>300</v>
      </c>
      <c r="P42" s="280">
        <v>5.7</v>
      </c>
      <c r="Q42" s="280">
        <v>5.6</v>
      </c>
      <c r="R42" s="280">
        <v>5</v>
      </c>
      <c r="S42" s="280">
        <v>4.3</v>
      </c>
      <c r="T42" s="280">
        <v>4.2</v>
      </c>
      <c r="U42" s="280">
        <v>4.9000000000000004</v>
      </c>
      <c r="V42" s="280"/>
      <c r="W42" s="280">
        <v>9</v>
      </c>
      <c r="X42" s="280">
        <v>13.2</v>
      </c>
      <c r="Y42" s="280">
        <v>0</v>
      </c>
      <c r="Z42" s="280">
        <v>2.7</v>
      </c>
      <c r="AA42" s="280">
        <v>2.2999999999999998</v>
      </c>
      <c r="AB42" s="280">
        <v>3.5</v>
      </c>
      <c r="AC42" s="280">
        <v>2.2999999999999998</v>
      </c>
      <c r="AD42" s="280">
        <v>2.6</v>
      </c>
      <c r="AE42" s="280">
        <v>0</v>
      </c>
      <c r="AF42" s="280">
        <v>33.9</v>
      </c>
      <c r="AG42" s="280">
        <v>0.8</v>
      </c>
      <c r="AH42" s="280">
        <v>7</v>
      </c>
      <c r="AI42" s="280">
        <v>0</v>
      </c>
      <c r="AJ42" s="280">
        <v>12</v>
      </c>
      <c r="AK42" s="280">
        <v>0</v>
      </c>
      <c r="AL42" s="280">
        <v>12.1</v>
      </c>
      <c r="AM42" s="280"/>
      <c r="AN42" s="280">
        <v>2.8</v>
      </c>
      <c r="AO42" s="280">
        <v>42</v>
      </c>
      <c r="AP42" s="280">
        <v>33</v>
      </c>
      <c r="AQ42" s="280">
        <v>16</v>
      </c>
      <c r="AR42" s="280">
        <v>10</v>
      </c>
      <c r="AS42" s="280">
        <v>13</v>
      </c>
      <c r="AT42" s="280">
        <v>0</v>
      </c>
      <c r="AU42" s="280">
        <v>3</v>
      </c>
      <c r="AV42" s="280">
        <v>0</v>
      </c>
      <c r="AW42" s="280">
        <v>8.5</v>
      </c>
      <c r="AX42" s="280">
        <v>10</v>
      </c>
      <c r="AY42" s="280">
        <v>10</v>
      </c>
      <c r="BL42" s="305"/>
      <c r="BM42" s="332" t="s">
        <v>425</v>
      </c>
      <c r="BN42" s="332">
        <f t="array" ref="BN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36 et plus],MATCH(ChoixRationBisons&amp;$BM42,Règles_bison[Ration]&amp;Règles_bison[Aliment],0)),0),0)*TotalBisonsMalesAdultes*NbreJoursNourrirBisonsDaims)</f>
        <v>0</v>
      </c>
      <c r="BO42" s="332">
        <f t="array" ref="BO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24-36],MATCH(ChoixRationBisons&amp;$BM42,Règles_bison[Ration]&amp;Règles_bison[Aliment],0)),0),0)*TotalBisonsMales_24_36_mois*NbreJoursNourrirBisonsDaims)</f>
        <v>0</v>
      </c>
      <c r="BP42" s="332">
        <f t="array" ref="BP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18-24],MATCH(ChoixRationBisons&amp;$BM42,Règles_bison[Ration]&amp;Règles_bison[Aliment],0)),0),0)*TotalBisonsMales_18_24_mois*NbreJoursNourrirBisonsDaims)</f>
        <v>0</v>
      </c>
      <c r="BQ42" s="332">
        <f t="array" ref="BQ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12-18],MATCH(ChoixRationBisons&amp;$BM42,Règles_bison[Ration]&amp;Règles_bison[Aliment],0)),0),0)*TotalBisonsMales_12_18_mois*NbreJoursNourrirBisonsDaims)</f>
        <v>0</v>
      </c>
      <c r="BR42" s="332">
        <f t="array" ref="BR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6-12],MATCH(ChoixRationBisons&amp;$BM42,Règles_bison[Ration]&amp;Règles_bison[Aliment],0)),0),0)*TotalBisonsMales_6_12_mois*NbreJoursNourrirBisonsDaims)</f>
        <v>0</v>
      </c>
      <c r="BS42" s="332">
        <f t="array" ref="BS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3-6],MATCH(ChoixRationBisons&amp;$BM42,Règles_bison[Ration]&amp;Règles_bison[Aliment],0)),0),0)*TotalBisonsMales_3_6_mois*NbreJoursNourrirBisonsDaims)</f>
        <v>0</v>
      </c>
      <c r="BT42" s="332">
        <f t="array" ref="BT42">IF(Ration_hivernale_complète_bisons[somme]&gt;0,0,IFERROR(IF(OR(AND(INDEX(Règles_bison[Specificite],MATCH(ChoixRationBisons&amp;$BM42,Règles_bison[Ration]&amp;Règles_bison[Aliment],0))="s1",IF($BM42=ChoixSpécificité1Bisons,1)),
INDEX(Règles_bison[Specificite],MATCH(ChoixRationBisons&amp;$BM42,Règles_bison[Ration]&amp;Règles_bison[Aliment],0))="c"),
INDEX(Règles_bison[Valeur 0-3],MATCH(ChoixRationBisons&amp;$BM42,Règles_bison[Ration]&amp;Règles_bison[Aliment],0)),0),0)*TotalBisonsMales_0_3_mois*NbreJoursNourrirBisonsDaims)</f>
        <v>0</v>
      </c>
      <c r="BU42" s="332">
        <f t="shared" si="0"/>
        <v>0</v>
      </c>
      <c r="BY42" s="280" t="s">
        <v>534</v>
      </c>
      <c r="BZ42" s="280">
        <v>620</v>
      </c>
      <c r="CB42" s="280" t="s">
        <v>534</v>
      </c>
      <c r="CC42" s="280">
        <v>744</v>
      </c>
    </row>
    <row r="43" spans="1:86" ht="12.75" customHeight="1" x14ac:dyDescent="0.2">
      <c r="A43" s="351" t="s">
        <v>544</v>
      </c>
      <c r="B43" s="280" t="s">
        <v>201</v>
      </c>
      <c r="C43" s="280">
        <v>0.3</v>
      </c>
      <c r="D43" s="405">
        <v>0</v>
      </c>
      <c r="F43" s="280" t="s">
        <v>492</v>
      </c>
      <c r="G43" s="280"/>
      <c r="H43" s="280"/>
      <c r="I43" s="280">
        <v>3</v>
      </c>
      <c r="N43" s="277"/>
      <c r="O43" s="280" t="s">
        <v>301</v>
      </c>
      <c r="P43" s="280">
        <v>6.2</v>
      </c>
      <c r="Q43" s="280">
        <v>5.5</v>
      </c>
      <c r="R43" s="280">
        <v>4.5</v>
      </c>
      <c r="S43" s="280">
        <v>3.5</v>
      </c>
      <c r="T43" s="280">
        <v>3.2</v>
      </c>
      <c r="U43" s="280">
        <v>5.0999999999999996</v>
      </c>
      <c r="V43" s="280"/>
      <c r="W43" s="280">
        <v>9.1</v>
      </c>
      <c r="X43" s="280">
        <v>10.3</v>
      </c>
      <c r="Y43" s="280">
        <v>60</v>
      </c>
      <c r="Z43" s="280">
        <v>3</v>
      </c>
      <c r="AA43" s="280">
        <v>2.5</v>
      </c>
      <c r="AB43" s="280">
        <v>2.9</v>
      </c>
      <c r="AC43" s="280">
        <v>2.5</v>
      </c>
      <c r="AD43" s="280">
        <v>2.5</v>
      </c>
      <c r="AE43" s="280">
        <v>0</v>
      </c>
      <c r="AF43" s="280">
        <v>29.7</v>
      </c>
      <c r="AG43" s="280">
        <v>0</v>
      </c>
      <c r="AH43" s="280">
        <v>0</v>
      </c>
      <c r="AI43" s="280">
        <v>0</v>
      </c>
      <c r="AJ43" s="280">
        <v>0</v>
      </c>
      <c r="AK43" s="280">
        <v>1.5</v>
      </c>
      <c r="AL43" s="280">
        <v>11</v>
      </c>
      <c r="AM43" s="280"/>
      <c r="AN43" s="280">
        <v>2.6</v>
      </c>
      <c r="AO43" s="280">
        <v>28</v>
      </c>
      <c r="AP43" s="280">
        <v>0</v>
      </c>
      <c r="AQ43" s="280">
        <v>0</v>
      </c>
      <c r="AR43" s="280">
        <v>0</v>
      </c>
      <c r="AS43" s="280">
        <v>0</v>
      </c>
      <c r="AT43" s="280">
        <v>0</v>
      </c>
      <c r="AU43" s="280">
        <v>0</v>
      </c>
      <c r="AV43" s="280">
        <v>0</v>
      </c>
      <c r="AW43" s="280">
        <v>8.5</v>
      </c>
      <c r="AX43" s="280">
        <v>10</v>
      </c>
      <c r="AY43" s="280">
        <v>10</v>
      </c>
      <c r="BC43" s="289" t="s">
        <v>523</v>
      </c>
      <c r="BD43" s="288"/>
      <c r="BL43" s="305"/>
      <c r="BM43" s="332" t="s">
        <v>882</v>
      </c>
      <c r="BN43" s="332">
        <f t="array" ref="BN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36 et plus],MATCH(ChoixRationBisons&amp;$BM43,Règles_bison[Ration]&amp;Règles_bison[Aliment],0)),0),0)*TotalBisonsMalesAdultes*NbreJoursNourrirBisonsDaims)</f>
        <v>0</v>
      </c>
      <c r="BO43" s="332">
        <f t="array" ref="BO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24-36],MATCH(ChoixRationBisons&amp;$BM43,Règles_bison[Ration]&amp;Règles_bison[Aliment],0)),0),0)*TotalBisonsMales_24_36_mois*NbreJoursNourrirBisonsDaims)</f>
        <v>0</v>
      </c>
      <c r="BP43" s="332">
        <f t="array" ref="BP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18-24],MATCH(ChoixRationBisons&amp;$BM43,Règles_bison[Ration]&amp;Règles_bison[Aliment],0)),0),0)*TotalBisonsMales_18_24_mois*NbreJoursNourrirBisonsDaims)</f>
        <v>0</v>
      </c>
      <c r="BQ43" s="332">
        <f t="array" ref="BQ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12-18],MATCH(ChoixRationBisons&amp;$BM43,Règles_bison[Ration]&amp;Règles_bison[Aliment],0)),0),0)*TotalBisonsMales_12_18_mois*NbreJoursNourrirBisonsDaims)</f>
        <v>0</v>
      </c>
      <c r="BR43" s="332">
        <f t="array" ref="BR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6-12],MATCH(ChoixRationBisons&amp;$BM43,Règles_bison[Ration]&amp;Règles_bison[Aliment],0)),0),0)*TotalBisonsMales_6_12_mois*NbreJoursNourrirBisonsDaims)</f>
        <v>0</v>
      </c>
      <c r="BS43" s="332">
        <f t="array" ref="BS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3-6],MATCH(ChoixRationBisons&amp;$BM43,Règles_bison[Ration]&amp;Règles_bison[Aliment],0)),0),0)*TotalBisonsMales_3_6_mois*NbreJoursNourrirBisonsDaims)</f>
        <v>0</v>
      </c>
      <c r="BT43" s="332">
        <f t="array" ref="BT43">IF(Ration_hivernale_complète_bisons[somme]&gt;0,0,IFERROR(IF(OR(AND(INDEX(Règles_bison[Specificite],MATCH(ChoixRationBisons&amp;$BM43,Règles_bison[Ration]&amp;Règles_bison[Aliment],0))="s1",IF($BM43=ChoixSpécificité1Bisons,1)),
INDEX(Règles_bison[Specificite],MATCH(ChoixRationBisons&amp;$BM43,Règles_bison[Ration]&amp;Règles_bison[Aliment],0))="c"),
INDEX(Règles_bison[Valeur 0-3],MATCH(ChoixRationBisons&amp;$BM43,Règles_bison[Ration]&amp;Règles_bison[Aliment],0)),0),0)*TotalBisonsMales_0_3_mois*NbreJoursNourrirBisonsDaims)</f>
        <v>0</v>
      </c>
      <c r="BU43" s="332">
        <f t="shared" si="0"/>
        <v>0</v>
      </c>
      <c r="BY43" s="280" t="s">
        <v>535</v>
      </c>
      <c r="BZ43" s="280">
        <v>630</v>
      </c>
      <c r="CB43" s="280" t="s">
        <v>535</v>
      </c>
      <c r="CC43" s="280">
        <v>756</v>
      </c>
    </row>
    <row r="44" spans="1:86" ht="12.75" customHeight="1" x14ac:dyDescent="0.2">
      <c r="A44" s="351" t="s">
        <v>549</v>
      </c>
      <c r="B44" s="280" t="s">
        <v>201</v>
      </c>
      <c r="C44" s="280">
        <v>0.3</v>
      </c>
      <c r="D44" s="405">
        <v>0</v>
      </c>
      <c r="F44" s="280" t="s">
        <v>493</v>
      </c>
      <c r="G44" s="280"/>
      <c r="H44" s="280"/>
      <c r="I44" s="280">
        <v>3</v>
      </c>
      <c r="N44" s="277"/>
      <c r="O44" s="280" t="s">
        <v>302</v>
      </c>
      <c r="P44" s="280">
        <v>8.1</v>
      </c>
      <c r="Q44" s="280">
        <v>6.9</v>
      </c>
      <c r="R44" s="280">
        <v>5.8</v>
      </c>
      <c r="S44" s="280">
        <v>5.9</v>
      </c>
      <c r="T44" s="280">
        <v>5.7</v>
      </c>
      <c r="U44" s="280">
        <v>6.4</v>
      </c>
      <c r="V44" s="280"/>
      <c r="W44" s="280">
        <v>8.6</v>
      </c>
      <c r="X44" s="280">
        <v>13.6</v>
      </c>
      <c r="Y44" s="280">
        <v>80</v>
      </c>
      <c r="Z44" s="280">
        <v>3.7</v>
      </c>
      <c r="AA44" s="280">
        <v>2.5</v>
      </c>
      <c r="AB44" s="280">
        <v>4.8</v>
      </c>
      <c r="AC44" s="280">
        <v>4.3</v>
      </c>
      <c r="AD44" s="280">
        <v>0</v>
      </c>
      <c r="AE44" s="280">
        <v>3.5</v>
      </c>
      <c r="AF44" s="280">
        <v>33.9</v>
      </c>
      <c r="AG44" s="280">
        <v>0</v>
      </c>
      <c r="AH44" s="280">
        <v>0</v>
      </c>
      <c r="AI44" s="280">
        <v>0</v>
      </c>
      <c r="AJ44" s="280">
        <v>0</v>
      </c>
      <c r="AK44" s="280">
        <v>0</v>
      </c>
      <c r="AL44" s="280">
        <v>0</v>
      </c>
      <c r="AM44" s="280"/>
      <c r="AN44" s="280">
        <v>0</v>
      </c>
      <c r="AO44" s="280">
        <v>21</v>
      </c>
      <c r="AP44" s="280">
        <v>0</v>
      </c>
      <c r="AQ44" s="280">
        <v>0</v>
      </c>
      <c r="AR44" s="280">
        <v>0</v>
      </c>
      <c r="AS44" s="280">
        <v>0</v>
      </c>
      <c r="AT44" s="280">
        <v>0</v>
      </c>
      <c r="AU44" s="280">
        <v>0</v>
      </c>
      <c r="AV44" s="280">
        <v>0</v>
      </c>
      <c r="AW44" s="280">
        <v>8.5</v>
      </c>
      <c r="AX44" s="280">
        <v>10</v>
      </c>
      <c r="AY44" s="280">
        <v>10</v>
      </c>
      <c r="BC44" s="283" t="s">
        <v>524</v>
      </c>
      <c r="BF44" s="289" t="s">
        <v>538</v>
      </c>
      <c r="BG44" s="288"/>
      <c r="BL44" s="305"/>
      <c r="BM44" s="332" t="s">
        <v>883</v>
      </c>
      <c r="BN44" s="332">
        <f t="array" ref="BN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36 et plus],MATCH(ChoixRationBisons&amp;$BM44,Règles_bison[Ration]&amp;Règles_bison[Aliment],0)),0),0)*TotalBisonsMalesAdultes*NbreJoursNourrirBisonsDaims)</f>
        <v>0</v>
      </c>
      <c r="BO44" s="332">
        <f t="array" ref="BO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24-36],MATCH(ChoixRationBisons&amp;$BM44,Règles_bison[Ration]&amp;Règles_bison[Aliment],0)),0),0)*TotalBisonsMales_24_36_mois*NbreJoursNourrirBisonsDaims)</f>
        <v>0</v>
      </c>
      <c r="BP44" s="332">
        <f t="array" ref="BP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18-24],MATCH(ChoixRationBisons&amp;$BM44,Règles_bison[Ration]&amp;Règles_bison[Aliment],0)),0),0)*TotalBisonsMales_18_24_mois*NbreJoursNourrirBisonsDaims)</f>
        <v>0</v>
      </c>
      <c r="BQ44" s="332">
        <f t="array" ref="BQ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12-18],MATCH(ChoixRationBisons&amp;$BM44,Règles_bison[Ration]&amp;Règles_bison[Aliment],0)),0),0)*TotalBisonsMales_12_18_mois*NbreJoursNourrirBisonsDaims)</f>
        <v>0</v>
      </c>
      <c r="BR44" s="332">
        <f t="array" ref="BR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6-12],MATCH(ChoixRationBisons&amp;$BM44,Règles_bison[Ration]&amp;Règles_bison[Aliment],0)),0),0)*TotalBisonsMales_6_12_mois*NbreJoursNourrirBisonsDaims)</f>
        <v>0</v>
      </c>
      <c r="BS44" s="332">
        <f t="array" ref="BS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3-6],MATCH(ChoixRationBisons&amp;$BM44,Règles_bison[Ration]&amp;Règles_bison[Aliment],0)),0),0)*TotalBisonsMales_3_6_mois*NbreJoursNourrirBisonsDaims)</f>
        <v>0</v>
      </c>
      <c r="BT44" s="332">
        <f t="array" ref="BT44">IF(Ration_hivernale_complète_bisons[somme]&gt;0,0,IFERROR(IF(OR(AND(INDEX(Règles_bison[Specificite],MATCH(ChoixRationBisons&amp;$BM44,Règles_bison[Ration]&amp;Règles_bison[Aliment],0))="s1",IF($BM44=ChoixSpécificité1Bisons,1)),
INDEX(Règles_bison[Specificite],MATCH(ChoixRationBisons&amp;$BM44,Règles_bison[Ration]&amp;Règles_bison[Aliment],0))="c"),
INDEX(Règles_bison[Valeur 0-3],MATCH(ChoixRationBisons&amp;$BM44,Règles_bison[Ration]&amp;Règles_bison[Aliment],0)),0),0)*TotalBisonsMales_0_3_mois*NbreJoursNourrirBisonsDaims)</f>
        <v>0</v>
      </c>
      <c r="BU44" s="332">
        <f t="shared" si="0"/>
        <v>0</v>
      </c>
      <c r="BY44" s="280" t="s">
        <v>536</v>
      </c>
      <c r="BZ44" s="280">
        <v>640</v>
      </c>
      <c r="CB44" s="280" t="s">
        <v>536</v>
      </c>
      <c r="CC44" s="280">
        <v>768</v>
      </c>
    </row>
    <row r="45" spans="1:86" ht="12.75" customHeight="1" x14ac:dyDescent="0.2">
      <c r="A45" s="351" t="s">
        <v>572</v>
      </c>
      <c r="B45" s="280" t="s">
        <v>566</v>
      </c>
      <c r="C45" s="280">
        <v>500</v>
      </c>
      <c r="D45" s="405">
        <v>0</v>
      </c>
      <c r="F45" s="280" t="s">
        <v>494</v>
      </c>
      <c r="G45" s="280"/>
      <c r="H45" s="280"/>
      <c r="I45" s="280">
        <v>3</v>
      </c>
      <c r="N45" s="277"/>
      <c r="O45" s="280" t="s">
        <v>303</v>
      </c>
      <c r="P45" s="280">
        <v>6.1</v>
      </c>
      <c r="Q45" s="280">
        <v>5.8</v>
      </c>
      <c r="R45" s="280">
        <v>4.8</v>
      </c>
      <c r="S45" s="280">
        <v>3.8</v>
      </c>
      <c r="T45" s="280">
        <v>3.6</v>
      </c>
      <c r="U45" s="280">
        <v>5</v>
      </c>
      <c r="V45" s="280"/>
      <c r="W45" s="280">
        <v>8.4</v>
      </c>
      <c r="X45" s="280">
        <v>9.8000000000000007</v>
      </c>
      <c r="Y45" s="280">
        <v>70</v>
      </c>
      <c r="Z45" s="280">
        <v>3</v>
      </c>
      <c r="AA45" s="280">
        <v>2.4</v>
      </c>
      <c r="AB45" s="280">
        <v>3</v>
      </c>
      <c r="AC45" s="280">
        <v>3.2</v>
      </c>
      <c r="AD45" s="280">
        <v>2.6</v>
      </c>
      <c r="AE45" s="280">
        <v>0</v>
      </c>
      <c r="AF45" s="280">
        <v>36.4</v>
      </c>
      <c r="AG45" s="280">
        <v>0.8</v>
      </c>
      <c r="AH45" s="280">
        <v>7</v>
      </c>
      <c r="AI45" s="280">
        <v>0</v>
      </c>
      <c r="AJ45" s="280">
        <v>13</v>
      </c>
      <c r="AK45" s="280">
        <v>2.5</v>
      </c>
      <c r="AL45" s="280">
        <v>9.3000000000000007</v>
      </c>
      <c r="AM45" s="280"/>
      <c r="AN45" s="280">
        <v>0</v>
      </c>
      <c r="AO45" s="280">
        <v>30</v>
      </c>
      <c r="AP45" s="280">
        <v>0</v>
      </c>
      <c r="AQ45" s="280">
        <v>0</v>
      </c>
      <c r="AR45" s="280">
        <v>10</v>
      </c>
      <c r="AS45" s="280">
        <v>0</v>
      </c>
      <c r="AT45" s="280">
        <v>0</v>
      </c>
      <c r="AU45" s="280">
        <v>0</v>
      </c>
      <c r="AV45" s="280">
        <v>0</v>
      </c>
      <c r="AW45" s="280">
        <v>8.5</v>
      </c>
      <c r="AX45" s="280">
        <v>10</v>
      </c>
      <c r="AY45" s="280">
        <v>10</v>
      </c>
      <c r="BC45" s="283" t="s">
        <v>525</v>
      </c>
      <c r="BD45" s="283" t="s">
        <v>526</v>
      </c>
      <c r="BF45" s="289" t="s">
        <v>525</v>
      </c>
      <c r="BG45" s="286" t="s">
        <v>526</v>
      </c>
      <c r="BL45" s="305"/>
      <c r="BM45" s="332" t="s">
        <v>881</v>
      </c>
      <c r="BN45" s="332">
        <f t="array" ref="BN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36 et plus],MATCH(ChoixRationBisons&amp;$BM45,Règles_bison[Ration]&amp;Règles_bison[Aliment],0)),0),0)*TotalBisonsMalesAdultes*NbreJoursNourrirBisonsDaims)</f>
        <v>0</v>
      </c>
      <c r="BO45" s="332">
        <f t="array" ref="BO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24-36],MATCH(ChoixRationBisons&amp;$BM45,Règles_bison[Ration]&amp;Règles_bison[Aliment],0)),0),0)*TotalBisonsMales_24_36_mois*NbreJoursNourrirBisonsDaims)</f>
        <v>0</v>
      </c>
      <c r="BP45" s="332">
        <f t="array" ref="BP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18-24],MATCH(ChoixRationBisons&amp;$BM45,Règles_bison[Ration]&amp;Règles_bison[Aliment],0)),0),0)*TotalBisonsMales_18_24_mois*NbreJoursNourrirBisonsDaims)</f>
        <v>0</v>
      </c>
      <c r="BQ45" s="332">
        <f t="array" ref="BQ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12-18],MATCH(ChoixRationBisons&amp;$BM45,Règles_bison[Ration]&amp;Règles_bison[Aliment],0)),0),0)*TotalBisonsMales_12_18_mois*NbreJoursNourrirBisonsDaims)</f>
        <v>0</v>
      </c>
      <c r="BR45" s="332">
        <f t="array" ref="BR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6-12],MATCH(ChoixRationBisons&amp;$BM45,Règles_bison[Ration]&amp;Règles_bison[Aliment],0)),0),0)*TotalBisonsMales_6_12_mois*NbreJoursNourrirBisonsDaims)</f>
        <v>0</v>
      </c>
      <c r="BS45" s="332">
        <f t="array" ref="BS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3-6],MATCH(ChoixRationBisons&amp;$BM45,Règles_bison[Ration]&amp;Règles_bison[Aliment],0)),0),0)*TotalBisonsMales_3_6_mois*NbreJoursNourrirBisonsDaims)</f>
        <v>0</v>
      </c>
      <c r="BT45" s="332">
        <f t="array" ref="BT45">IF(Ration_hivernale_complète_bisons[somme]&gt;0,0,IFERROR(IF(OR(AND(INDEX(Règles_bison[Specificite],MATCH(ChoixRationBisons&amp;$BM45,Règles_bison[Ration]&amp;Règles_bison[Aliment],0))="s1",IF($BM45=ChoixSpécificité1Bisons,1)),
INDEX(Règles_bison[Specificite],MATCH(ChoixRationBisons&amp;$BM45,Règles_bison[Ration]&amp;Règles_bison[Aliment],0))="c"),
INDEX(Règles_bison[Valeur 0-3],MATCH(ChoixRationBisons&amp;$BM45,Règles_bison[Ration]&amp;Règles_bison[Aliment],0)),0),0)*TotalBisonsMales_0_3_mois*NbreJoursNourrirBisonsDaims)</f>
        <v>0</v>
      </c>
      <c r="BU45" s="332">
        <f t="shared" si="0"/>
        <v>0</v>
      </c>
    </row>
    <row r="46" spans="1:86" ht="12.75" customHeight="1" x14ac:dyDescent="0.2">
      <c r="A46" s="351" t="s">
        <v>559</v>
      </c>
      <c r="B46" s="280" t="s">
        <v>201</v>
      </c>
      <c r="C46" s="280">
        <v>0.3</v>
      </c>
      <c r="D46" s="405">
        <v>0</v>
      </c>
      <c r="F46" s="280" t="s">
        <v>495</v>
      </c>
      <c r="G46" s="280"/>
      <c r="H46" s="280"/>
      <c r="I46" s="280">
        <v>3</v>
      </c>
      <c r="N46" s="277"/>
      <c r="O46" s="280" t="s">
        <v>304</v>
      </c>
      <c r="P46" s="280">
        <v>7.3</v>
      </c>
      <c r="Q46" s="280">
        <v>7</v>
      </c>
      <c r="R46" s="280">
        <v>6.5</v>
      </c>
      <c r="S46" s="280">
        <v>5.2</v>
      </c>
      <c r="T46" s="280">
        <v>5.0999999999999996</v>
      </c>
      <c r="U46" s="280">
        <v>6.4</v>
      </c>
      <c r="V46" s="280"/>
      <c r="W46" s="280">
        <v>8.5</v>
      </c>
      <c r="X46" s="280">
        <v>13.2</v>
      </c>
      <c r="Y46" s="280">
        <v>0</v>
      </c>
      <c r="Z46" s="280">
        <v>3.4</v>
      </c>
      <c r="AA46" s="280">
        <v>2.5</v>
      </c>
      <c r="AB46" s="280">
        <v>4.2</v>
      </c>
      <c r="AC46" s="280">
        <v>4.2</v>
      </c>
      <c r="AD46" s="280">
        <v>0</v>
      </c>
      <c r="AE46" s="280">
        <v>0</v>
      </c>
      <c r="AF46" s="280">
        <v>24.6</v>
      </c>
      <c r="AG46" s="280">
        <v>0.8</v>
      </c>
      <c r="AH46" s="280">
        <v>7</v>
      </c>
      <c r="AI46" s="280">
        <v>23</v>
      </c>
      <c r="AJ46" s="280">
        <v>13</v>
      </c>
      <c r="AK46" s="280">
        <v>0</v>
      </c>
      <c r="AL46" s="280">
        <v>0</v>
      </c>
      <c r="AM46" s="280"/>
      <c r="AN46" s="280">
        <v>3</v>
      </c>
      <c r="AO46" s="280">
        <v>22</v>
      </c>
      <c r="AP46" s="280">
        <v>0</v>
      </c>
      <c r="AQ46" s="280">
        <v>0</v>
      </c>
      <c r="AR46" s="280">
        <v>0</v>
      </c>
      <c r="AS46" s="280">
        <v>0</v>
      </c>
      <c r="AT46" s="280">
        <v>0</v>
      </c>
      <c r="AU46" s="280">
        <v>0</v>
      </c>
      <c r="AV46" s="280">
        <v>0</v>
      </c>
      <c r="AW46" s="280">
        <v>8.5</v>
      </c>
      <c r="AX46" s="280">
        <v>10</v>
      </c>
      <c r="AY46" s="280">
        <v>10</v>
      </c>
      <c r="BC46" s="280" t="s">
        <v>527</v>
      </c>
      <c r="BD46" s="296">
        <v>265</v>
      </c>
      <c r="BF46" s="284" t="s">
        <v>527</v>
      </c>
      <c r="BG46" s="296">
        <v>318</v>
      </c>
      <c r="BL46" s="305"/>
      <c r="BM46" s="332" t="s">
        <v>439</v>
      </c>
      <c r="BN46" s="332">
        <f t="array" ref="BN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36 et plus],MATCH(ChoixRationBisons&amp;$BM46,Règles_bison[Ration]&amp;Règles_bison[Aliment],0)),0),0)*TotalBisonsMalesAdultes*NbreJoursNourrirBisonsDaims)</f>
        <v>0</v>
      </c>
      <c r="BO46" s="332">
        <f t="array" ref="BO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24-36],MATCH(ChoixRationBisons&amp;$BM46,Règles_bison[Ration]&amp;Règles_bison[Aliment],0)),0),0)*TotalBisonsMales_24_36_mois*NbreJoursNourrirBisonsDaims)</f>
        <v>0</v>
      </c>
      <c r="BP46" s="332">
        <f t="array" ref="BP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18-24],MATCH(ChoixRationBisons&amp;$BM46,Règles_bison[Ration]&amp;Règles_bison[Aliment],0)),0),0)*TotalBisonsMales_18_24_mois*NbreJoursNourrirBisonsDaims)</f>
        <v>0</v>
      </c>
      <c r="BQ46" s="332">
        <f t="array" ref="BQ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12-18],MATCH(ChoixRationBisons&amp;$BM46,Règles_bison[Ration]&amp;Règles_bison[Aliment],0)),0),0)*TotalBisonsMales_12_18_mois*NbreJoursNourrirBisonsDaims)</f>
        <v>0</v>
      </c>
      <c r="BR46" s="332">
        <f t="array" ref="BR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6-12],MATCH(ChoixRationBisons&amp;$BM46,Règles_bison[Ration]&amp;Règles_bison[Aliment],0)),0),0)*TotalBisonsMales_6_12_mois*NbreJoursNourrirBisonsDaims)</f>
        <v>0</v>
      </c>
      <c r="BS46" s="332">
        <f t="array" ref="BS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3-6],MATCH(ChoixRationBisons&amp;$BM46,Règles_bison[Ration]&amp;Règles_bison[Aliment],0)),0),0)*TotalBisonsMales_3_6_mois*NbreJoursNourrirBisonsDaims)</f>
        <v>0</v>
      </c>
      <c r="BT46" s="332">
        <f t="array" ref="BT46">IF(Ration_hivernale_complète_bisons[somme]&gt;0,0,IFERROR(IF(OR(AND(INDEX(Règles_bison[Specificite],MATCH(ChoixRationBisons&amp;$BM46,Règles_bison[Ration]&amp;Règles_bison[Aliment],0))="s1",IF($BM46=ChoixSpécificité1Bisons,1)),
INDEX(Règles_bison[Specificite],MATCH(ChoixRationBisons&amp;$BM46,Règles_bison[Ration]&amp;Règles_bison[Aliment],0))="c"),
INDEX(Règles_bison[Valeur 0-3],MATCH(ChoixRationBisons&amp;$BM46,Règles_bison[Ration]&amp;Règles_bison[Aliment],0)),0),0)*TotalBisonsMales_0_3_mois*NbreJoursNourrirBisonsDaims)</f>
        <v>0</v>
      </c>
      <c r="BU46" s="332">
        <f t="shared" si="0"/>
        <v>0</v>
      </c>
    </row>
    <row r="47" spans="1:86" ht="12.75" customHeight="1" x14ac:dyDescent="0.2">
      <c r="A47" s="351" t="s">
        <v>560</v>
      </c>
      <c r="B47" s="280" t="s">
        <v>567</v>
      </c>
      <c r="C47" s="280">
        <v>1000</v>
      </c>
      <c r="D47" s="405">
        <v>0.01</v>
      </c>
      <c r="E47" s="283" t="s">
        <v>571</v>
      </c>
      <c r="F47" s="280" t="s">
        <v>496</v>
      </c>
      <c r="G47" s="280"/>
      <c r="H47" s="280"/>
      <c r="I47" s="280">
        <v>3</v>
      </c>
      <c r="N47" s="277"/>
      <c r="O47" s="280" t="s">
        <v>305</v>
      </c>
      <c r="P47" s="280">
        <v>6.8</v>
      </c>
      <c r="Q47" s="280">
        <v>6.6</v>
      </c>
      <c r="R47" s="280">
        <v>6.1</v>
      </c>
      <c r="S47" s="280">
        <v>4.5</v>
      </c>
      <c r="T47" s="280">
        <v>4.4000000000000004</v>
      </c>
      <c r="U47" s="280">
        <v>5.3</v>
      </c>
      <c r="V47" s="280"/>
      <c r="W47" s="280">
        <v>9.1</v>
      </c>
      <c r="X47" s="280">
        <v>12.4</v>
      </c>
      <c r="Y47" s="280">
        <v>82</v>
      </c>
      <c r="Z47" s="280">
        <v>3.3</v>
      </c>
      <c r="AA47" s="280">
        <v>2.6</v>
      </c>
      <c r="AB47" s="280">
        <v>4.5999999999999996</v>
      </c>
      <c r="AC47" s="280">
        <v>3.5</v>
      </c>
      <c r="AD47" s="280">
        <v>2.2000000000000002</v>
      </c>
      <c r="AE47" s="280">
        <v>0</v>
      </c>
      <c r="AF47" s="280">
        <v>48.2</v>
      </c>
      <c r="AG47" s="280">
        <v>0.8</v>
      </c>
      <c r="AH47" s="280">
        <v>7</v>
      </c>
      <c r="AI47" s="280">
        <v>20</v>
      </c>
      <c r="AJ47" s="280">
        <v>11</v>
      </c>
      <c r="AK47" s="280">
        <v>2.5</v>
      </c>
      <c r="AL47" s="280">
        <v>9.3000000000000007</v>
      </c>
      <c r="AM47" s="280"/>
      <c r="AN47" s="280">
        <v>2.7</v>
      </c>
      <c r="AO47" s="280">
        <v>40</v>
      </c>
      <c r="AP47" s="280">
        <v>29</v>
      </c>
      <c r="AQ47" s="280">
        <v>0</v>
      </c>
      <c r="AR47" s="280">
        <v>10</v>
      </c>
      <c r="AS47" s="280">
        <v>0</v>
      </c>
      <c r="AT47" s="280">
        <v>0</v>
      </c>
      <c r="AU47" s="280">
        <v>0</v>
      </c>
      <c r="AV47" s="280">
        <v>0</v>
      </c>
      <c r="AW47" s="280">
        <v>8.5</v>
      </c>
      <c r="AX47" s="280">
        <v>10</v>
      </c>
      <c r="AY47" s="280">
        <v>10</v>
      </c>
      <c r="BC47" s="280" t="s">
        <v>528</v>
      </c>
      <c r="BD47" s="296">
        <v>275</v>
      </c>
      <c r="BF47" s="284" t="s">
        <v>528</v>
      </c>
      <c r="BG47" s="296">
        <v>330</v>
      </c>
      <c r="BL47" s="305"/>
      <c r="BM47" s="332" t="s">
        <v>444</v>
      </c>
      <c r="BN47" s="332">
        <f t="array" ref="BN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36 et plus],MATCH(ChoixRationBisons&amp;$BM47,Règles_bison[Ration]&amp;Règles_bison[Aliment],0)),0),0)*TotalBisonsMalesAdultes*NbreJoursNourrirBisonsDaims)</f>
        <v>0</v>
      </c>
      <c r="BO47" s="332">
        <f t="array" ref="BO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24-36],MATCH(ChoixRationBisons&amp;$BM47,Règles_bison[Ration]&amp;Règles_bison[Aliment],0)),0),0)*TotalBisonsMales_24_36_mois*NbreJoursNourrirBisonsDaims)</f>
        <v>0</v>
      </c>
      <c r="BP47" s="332">
        <f t="array" ref="BP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18-24],MATCH(ChoixRationBisons&amp;$BM47,Règles_bison[Ration]&amp;Règles_bison[Aliment],0)),0),0)*TotalBisonsMales_18_24_mois*NbreJoursNourrirBisonsDaims)</f>
        <v>0</v>
      </c>
      <c r="BQ47" s="332">
        <f t="array" ref="BQ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12-18],MATCH(ChoixRationBisons&amp;$BM47,Règles_bison[Ration]&amp;Règles_bison[Aliment],0)),0),0)*TotalBisonsMales_12_18_mois*NbreJoursNourrirBisonsDaims)</f>
        <v>0</v>
      </c>
      <c r="BR47" s="332">
        <f t="array" ref="BR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6-12],MATCH(ChoixRationBisons&amp;$BM47,Règles_bison[Ration]&amp;Règles_bison[Aliment],0)),0),0)*TotalBisonsMales_6_12_mois*NbreJoursNourrirBisonsDaims)</f>
        <v>0</v>
      </c>
      <c r="BS47" s="332">
        <f t="array" ref="BS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3-6],MATCH(ChoixRationBisons&amp;$BM47,Règles_bison[Ration]&amp;Règles_bison[Aliment],0)),0),0)*TotalBisonsMales_3_6_mois*NbreJoursNourrirBisonsDaims)</f>
        <v>0</v>
      </c>
      <c r="BT47" s="332">
        <f t="array" ref="BT47">IF(Ration_hivernale_complète_bisons[somme]&gt;0,0,IFERROR(IF(OR(AND(INDEX(Règles_bison[Specificite],MATCH(ChoixRationBisons&amp;$BM47,Règles_bison[Ration]&amp;Règles_bison[Aliment],0))="s1",IF($BM47=ChoixSpécificité1Bisons,1)),
INDEX(Règles_bison[Specificite],MATCH(ChoixRationBisons&amp;$BM47,Règles_bison[Ration]&amp;Règles_bison[Aliment],0))="c"),
INDEX(Règles_bison[Valeur 0-3],MATCH(ChoixRationBisons&amp;$BM47,Règles_bison[Ration]&amp;Règles_bison[Aliment],0)),0),0)*TotalBisonsMales_0_3_mois*NbreJoursNourrirBisonsDaims)</f>
        <v>0</v>
      </c>
      <c r="BU47" s="332">
        <f t="shared" si="0"/>
        <v>0</v>
      </c>
      <c r="BX47" s="283" t="s">
        <v>740</v>
      </c>
    </row>
    <row r="48" spans="1:86" ht="12.75" customHeight="1" x14ac:dyDescent="0.2">
      <c r="A48" s="351" t="s">
        <v>561</v>
      </c>
      <c r="B48" s="280" t="s">
        <v>568</v>
      </c>
      <c r="C48" s="280">
        <v>0.5</v>
      </c>
      <c r="D48" s="405">
        <v>0.01</v>
      </c>
      <c r="F48" s="280" t="s">
        <v>497</v>
      </c>
      <c r="G48" s="280">
        <v>2</v>
      </c>
      <c r="H48" s="280"/>
      <c r="I48" s="280"/>
      <c r="N48" s="277"/>
      <c r="O48" s="280" t="s">
        <v>306</v>
      </c>
      <c r="P48" s="280">
        <v>7.6</v>
      </c>
      <c r="Q48" s="280">
        <v>6.4</v>
      </c>
      <c r="R48" s="280">
        <v>6.7</v>
      </c>
      <c r="S48" s="280">
        <v>5.5</v>
      </c>
      <c r="T48" s="280">
        <v>5.2</v>
      </c>
      <c r="U48" s="280">
        <v>6.5</v>
      </c>
      <c r="V48" s="280"/>
      <c r="W48" s="280">
        <v>8.3000000000000007</v>
      </c>
      <c r="X48" s="280">
        <v>10.8</v>
      </c>
      <c r="Y48" s="280">
        <v>76</v>
      </c>
      <c r="Z48" s="280">
        <v>3.4</v>
      </c>
      <c r="AA48" s="280">
        <v>3.5</v>
      </c>
      <c r="AB48" s="280">
        <v>4.5999999999999996</v>
      </c>
      <c r="AC48" s="280">
        <v>4</v>
      </c>
      <c r="AD48" s="280">
        <v>2.2000000000000002</v>
      </c>
      <c r="AE48" s="280">
        <v>3.3</v>
      </c>
      <c r="AF48" s="280">
        <v>50.5</v>
      </c>
      <c r="AG48" s="280">
        <v>0.8</v>
      </c>
      <c r="AH48" s="280">
        <v>7</v>
      </c>
      <c r="AI48" s="280">
        <v>16</v>
      </c>
      <c r="AJ48" s="280">
        <v>11</v>
      </c>
      <c r="AK48" s="280">
        <v>3.1</v>
      </c>
      <c r="AL48" s="280">
        <v>0</v>
      </c>
      <c r="AM48" s="280"/>
      <c r="AN48" s="280">
        <v>2.7</v>
      </c>
      <c r="AO48" s="280">
        <v>28</v>
      </c>
      <c r="AP48" s="280">
        <v>0</v>
      </c>
      <c r="AQ48" s="280">
        <v>0</v>
      </c>
      <c r="AR48" s="280">
        <v>0</v>
      </c>
      <c r="AS48" s="280">
        <v>0</v>
      </c>
      <c r="AT48" s="280">
        <v>0</v>
      </c>
      <c r="AU48" s="280">
        <v>0</v>
      </c>
      <c r="AV48" s="280">
        <v>0</v>
      </c>
      <c r="AW48" s="280">
        <v>8.5</v>
      </c>
      <c r="AX48" s="280">
        <v>10</v>
      </c>
      <c r="AY48" s="280">
        <v>10</v>
      </c>
      <c r="BC48" s="280" t="s">
        <v>529</v>
      </c>
      <c r="BD48" s="296">
        <v>285</v>
      </c>
      <c r="BF48" s="284" t="s">
        <v>529</v>
      </c>
      <c r="BG48" s="296">
        <v>342</v>
      </c>
      <c r="BL48" s="305"/>
      <c r="BM48" s="332" t="s">
        <v>186</v>
      </c>
      <c r="BN48" s="332">
        <f t="array" ref="BN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36 et plus],MATCH(ChoixRationBisons&amp;$BM48,Règles_bison[Ration]&amp;Règles_bison[Aliment],0)),0),0)*TotalBisonsMalesAdultes*NbreJoursNourrirBisonsDaims)</f>
        <v>0</v>
      </c>
      <c r="BO48" s="332">
        <f t="array" ref="BO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24-36],MATCH(ChoixRationBisons&amp;$BM48,Règles_bison[Ration]&amp;Règles_bison[Aliment],0)),0),0)*TotalBisonsMales_24_36_mois*NbreJoursNourrirBisonsDaims)</f>
        <v>0</v>
      </c>
      <c r="BP48" s="332">
        <f t="array" ref="BP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18-24],MATCH(ChoixRationBisons&amp;$BM48,Règles_bison[Ration]&amp;Règles_bison[Aliment],0)),0),0)*TotalBisonsMales_18_24_mois*NbreJoursNourrirBisonsDaims)</f>
        <v>0</v>
      </c>
      <c r="BQ48" s="332">
        <f t="array" ref="BQ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12-18],MATCH(ChoixRationBisons&amp;$BM48,Règles_bison[Ration]&amp;Règles_bison[Aliment],0)),0),0)*TotalBisonsMales_12_18_mois*NbreJoursNourrirBisonsDaims)</f>
        <v>0</v>
      </c>
      <c r="BR48" s="332">
        <f t="array" ref="BR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6-12],MATCH(ChoixRationBisons&amp;$BM48,Règles_bison[Ration]&amp;Règles_bison[Aliment],0)),0),0)*TotalBisonsMales_6_12_mois*NbreJoursNourrirBisonsDaims)</f>
        <v>0</v>
      </c>
      <c r="BS48" s="332">
        <f t="array" ref="BS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3-6],MATCH(ChoixRationBisons&amp;$BM48,Règles_bison[Ration]&amp;Règles_bison[Aliment],0)),0),0)*TotalBisonsMales_3_6_mois*NbreJoursNourrirBisonsDaims)</f>
        <v>0</v>
      </c>
      <c r="BT48" s="332">
        <f t="array" ref="BT48">IF(Ration_hivernale_complète_bisons[somme]&gt;0,0,IFERROR(IF(OR(AND(INDEX(Règles_bison[Specificite],MATCH(ChoixRationBisons&amp;$BM48,Règles_bison[Ration]&amp;Règles_bison[Aliment],0))="s1",IF($BM48=ChoixSpécificité1Bisons,1)),
INDEX(Règles_bison[Specificite],MATCH(ChoixRationBisons&amp;$BM48,Règles_bison[Ration]&amp;Règles_bison[Aliment],0))="c"),
INDEX(Règles_bison[Valeur 0-3],MATCH(ChoixRationBisons&amp;$BM48,Règles_bison[Ration]&amp;Règles_bison[Aliment],0)),0),0)*TotalBisonsMales_0_3_mois*NbreJoursNourrirBisonsDaims)</f>
        <v>0</v>
      </c>
      <c r="BU48" s="332">
        <f t="shared" si="0"/>
        <v>0</v>
      </c>
      <c r="BX48" s="340" t="s">
        <v>694</v>
      </c>
      <c r="BY48" s="310" t="s">
        <v>709</v>
      </c>
      <c r="BZ48" s="341" t="s">
        <v>710</v>
      </c>
      <c r="CA48" s="310" t="s">
        <v>738</v>
      </c>
      <c r="CB48" s="310" t="s">
        <v>716</v>
      </c>
      <c r="CC48" s="310" t="s">
        <v>715</v>
      </c>
      <c r="CD48" s="354" t="s">
        <v>714</v>
      </c>
      <c r="CE48" s="292"/>
      <c r="CF48" s="292"/>
      <c r="CG48" s="292"/>
      <c r="CH48" s="292"/>
    </row>
    <row r="49" spans="1:86" ht="12.75" customHeight="1" x14ac:dyDescent="0.2">
      <c r="A49" s="351" t="s">
        <v>562</v>
      </c>
      <c r="B49" s="280" t="s">
        <v>353</v>
      </c>
      <c r="C49" s="280">
        <v>0.5</v>
      </c>
      <c r="D49" s="405">
        <v>0.01</v>
      </c>
      <c r="F49" s="280" t="s">
        <v>498</v>
      </c>
      <c r="G49" s="280">
        <v>2</v>
      </c>
      <c r="H49" s="280"/>
      <c r="I49" s="280"/>
      <c r="N49" s="277"/>
      <c r="O49" s="280" t="s">
        <v>206</v>
      </c>
      <c r="P49" s="280">
        <v>3.4</v>
      </c>
      <c r="Q49" s="280">
        <v>3</v>
      </c>
      <c r="R49" s="280">
        <v>2.7</v>
      </c>
      <c r="S49" s="280">
        <v>2.6</v>
      </c>
      <c r="T49" s="280">
        <v>2.6</v>
      </c>
      <c r="U49" s="280">
        <v>3.5</v>
      </c>
      <c r="V49" s="280"/>
      <c r="W49" s="280">
        <v>11.2</v>
      </c>
      <c r="X49" s="280">
        <v>10</v>
      </c>
      <c r="Y49" s="280">
        <v>0</v>
      </c>
      <c r="Z49" s="280">
        <v>0</v>
      </c>
      <c r="AA49" s="280">
        <v>1.5</v>
      </c>
      <c r="AB49" s="280">
        <v>2.5</v>
      </c>
      <c r="AC49" s="280">
        <v>2.5</v>
      </c>
      <c r="AD49" s="280">
        <v>1.3</v>
      </c>
      <c r="AE49" s="280">
        <v>0</v>
      </c>
      <c r="AF49" s="280">
        <v>9.1999999999999993</v>
      </c>
      <c r="AG49" s="280">
        <v>0</v>
      </c>
      <c r="AH49" s="280">
        <v>0</v>
      </c>
      <c r="AI49" s="280">
        <v>0</v>
      </c>
      <c r="AJ49" s="280">
        <v>0</v>
      </c>
      <c r="AK49" s="280">
        <v>0</v>
      </c>
      <c r="AL49" s="280">
        <v>0</v>
      </c>
      <c r="AM49" s="280"/>
      <c r="AN49" s="280">
        <v>0</v>
      </c>
      <c r="AO49" s="280">
        <v>19</v>
      </c>
      <c r="AP49" s="280">
        <v>0</v>
      </c>
      <c r="AQ49" s="280">
        <v>0</v>
      </c>
      <c r="AR49" s="280">
        <v>0</v>
      </c>
      <c r="AS49" s="280">
        <v>10</v>
      </c>
      <c r="AT49" s="280">
        <v>0</v>
      </c>
      <c r="AU49" s="280">
        <v>0</v>
      </c>
      <c r="AV49" s="280">
        <v>4</v>
      </c>
      <c r="AW49" s="280">
        <v>8.5</v>
      </c>
      <c r="AX49" s="280">
        <v>10</v>
      </c>
      <c r="AY49" s="280">
        <v>10</v>
      </c>
      <c r="BC49" s="284" t="s">
        <v>530</v>
      </c>
      <c r="BD49" s="296">
        <v>295</v>
      </c>
      <c r="BF49" s="284" t="s">
        <v>530</v>
      </c>
      <c r="BG49" s="296">
        <v>354</v>
      </c>
      <c r="BL49" s="305"/>
      <c r="BM49" s="332" t="s">
        <v>170</v>
      </c>
      <c r="BN49" s="332">
        <f t="array" ref="BN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36 et plus],MATCH(ChoixRationBisons&amp;$BM49,Règles_bison[Ration]&amp;Règles_bison[Aliment],0)),0),0)*TotalBisonsMalesAdultes*NbreJoursNourrirBisonsDaims)</f>
        <v>0</v>
      </c>
      <c r="BO49" s="332">
        <f t="array" ref="BO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24-36],MATCH(ChoixRationBisons&amp;$BM49,Règles_bison[Ration]&amp;Règles_bison[Aliment],0)),0),0)*TotalBisonsMales_24_36_mois*NbreJoursNourrirBisonsDaims)</f>
        <v>0</v>
      </c>
      <c r="BP49" s="332">
        <f t="array" ref="BP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18-24],MATCH(ChoixRationBisons&amp;$BM49,Règles_bison[Ration]&amp;Règles_bison[Aliment],0)),0),0)*TotalBisonsMales_18_24_mois*NbreJoursNourrirBisonsDaims)</f>
        <v>0</v>
      </c>
      <c r="BQ49" s="332">
        <f t="array" ref="BQ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12-18],MATCH(ChoixRationBisons&amp;$BM49,Règles_bison[Ration]&amp;Règles_bison[Aliment],0)),0),0)*TotalBisonsMales_12_18_mois*NbreJoursNourrirBisonsDaims)</f>
        <v>0</v>
      </c>
      <c r="BR49" s="332">
        <f t="array" ref="BR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6-12],MATCH(ChoixRationBisons&amp;$BM49,Règles_bison[Ration]&amp;Règles_bison[Aliment],0)),0),0)*TotalBisonsMales_6_12_mois*NbreJoursNourrirBisonsDaims)</f>
        <v>0</v>
      </c>
      <c r="BS49" s="332">
        <f t="array" ref="BS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3-6],MATCH(ChoixRationBisons&amp;$BM49,Règles_bison[Ration]&amp;Règles_bison[Aliment],0)),0),0)*TotalBisonsMales_3_6_mois*NbreJoursNourrirBisonsDaims)</f>
        <v>0</v>
      </c>
      <c r="BT49" s="332">
        <f t="array" ref="BT49">IF(Ration_hivernale_complète_bisons[somme]&gt;0,0,IFERROR(IF(OR(AND(INDEX(Règles_bison[Specificite],MATCH(ChoixRationBisons&amp;$BM49,Règles_bison[Ration]&amp;Règles_bison[Aliment],0))="s1",IF($BM49=ChoixSpécificité1Bisons,1)),
INDEX(Règles_bison[Specificite],MATCH(ChoixRationBisons&amp;$BM49,Règles_bison[Ration]&amp;Règles_bison[Aliment],0))="c"),
INDEX(Règles_bison[Valeur 0-3],MATCH(ChoixRationBisons&amp;$BM49,Règles_bison[Ration]&amp;Règles_bison[Aliment],0)),0),0)*TotalBisonsMales_0_3_mois*NbreJoursNourrirBisonsDaims)</f>
        <v>0</v>
      </c>
      <c r="BU49" s="332">
        <f t="shared" si="0"/>
        <v>0</v>
      </c>
      <c r="BX49" s="355" t="s">
        <v>473</v>
      </c>
      <c r="BY49" s="280" t="s">
        <v>434</v>
      </c>
      <c r="BZ49" s="280" t="s">
        <v>735</v>
      </c>
      <c r="CA49" s="280">
        <v>21</v>
      </c>
      <c r="CB49" s="280">
        <v>16</v>
      </c>
      <c r="CC49" s="280">
        <v>11</v>
      </c>
      <c r="CD49" s="392">
        <v>3</v>
      </c>
      <c r="CE49" s="297"/>
      <c r="CF49" s="297"/>
      <c r="CG49" s="297"/>
      <c r="CH49" s="297"/>
    </row>
    <row r="50" spans="1:86" ht="12.75" customHeight="1" x14ac:dyDescent="0.2">
      <c r="A50" s="351" t="s">
        <v>563</v>
      </c>
      <c r="B50" s="280" t="s">
        <v>144</v>
      </c>
      <c r="C50" s="280">
        <v>0.28000000000000003</v>
      </c>
      <c r="D50" s="405">
        <v>0</v>
      </c>
      <c r="F50" s="280" t="s">
        <v>499</v>
      </c>
      <c r="G50" s="280">
        <v>2</v>
      </c>
      <c r="H50" s="280"/>
      <c r="I50" s="280"/>
      <c r="N50" s="277"/>
      <c r="O50" s="280" t="s">
        <v>307</v>
      </c>
      <c r="P50" s="280">
        <v>6</v>
      </c>
      <c r="Q50" s="280">
        <v>5.8</v>
      </c>
      <c r="R50" s="280">
        <v>5</v>
      </c>
      <c r="S50" s="280">
        <v>3.9</v>
      </c>
      <c r="T50" s="280">
        <v>3.8</v>
      </c>
      <c r="U50" s="280">
        <v>5.4</v>
      </c>
      <c r="V50" s="280"/>
      <c r="W50" s="280">
        <v>8.4</v>
      </c>
      <c r="X50" s="280">
        <v>11</v>
      </c>
      <c r="Y50" s="280">
        <v>0</v>
      </c>
      <c r="Z50" s="280">
        <v>3.4</v>
      </c>
      <c r="AA50" s="280">
        <v>2.5</v>
      </c>
      <c r="AB50" s="280">
        <v>2.8</v>
      </c>
      <c r="AC50" s="280">
        <v>2.9</v>
      </c>
      <c r="AD50" s="280">
        <v>2.5</v>
      </c>
      <c r="AE50" s="280">
        <v>0</v>
      </c>
      <c r="AF50" s="280">
        <v>27.2</v>
      </c>
      <c r="AG50" s="280">
        <v>0.8</v>
      </c>
      <c r="AH50" s="280">
        <v>7</v>
      </c>
      <c r="AI50" s="280">
        <v>0</v>
      </c>
      <c r="AJ50" s="280">
        <v>14</v>
      </c>
      <c r="AK50" s="280">
        <v>0</v>
      </c>
      <c r="AL50" s="280">
        <v>9.3000000000000007</v>
      </c>
      <c r="AM50" s="280"/>
      <c r="AN50" s="280">
        <v>2.9</v>
      </c>
      <c r="AO50" s="280">
        <v>12</v>
      </c>
      <c r="AP50" s="280">
        <v>0</v>
      </c>
      <c r="AQ50" s="280">
        <v>0</v>
      </c>
      <c r="AR50" s="280">
        <v>0</v>
      </c>
      <c r="AS50" s="280">
        <v>0</v>
      </c>
      <c r="AT50" s="280">
        <v>0</v>
      </c>
      <c r="AU50" s="280">
        <v>0</v>
      </c>
      <c r="AV50" s="280">
        <v>0</v>
      </c>
      <c r="AW50" s="280">
        <v>8.5</v>
      </c>
      <c r="AX50" s="280">
        <v>10</v>
      </c>
      <c r="AY50" s="280">
        <v>10</v>
      </c>
      <c r="BC50" s="284" t="s">
        <v>531</v>
      </c>
      <c r="BD50" s="296">
        <v>305</v>
      </c>
      <c r="BF50" s="284" t="s">
        <v>531</v>
      </c>
      <c r="BG50" s="296">
        <v>366</v>
      </c>
      <c r="BL50" s="305"/>
      <c r="BM50" s="332" t="s">
        <v>124</v>
      </c>
      <c r="BN50" s="332">
        <f t="array" ref="BN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36 et plus],MATCH(ChoixRationBisons&amp;$BM50,Règles_bison[Ration]&amp;Règles_bison[Aliment],0)),0),0)*TotalBisonsMalesAdultes*NbreJoursNourrirBisonsDaims)</f>
        <v>0</v>
      </c>
      <c r="BO50" s="332">
        <f t="array" ref="BO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24-36],MATCH(ChoixRationBisons&amp;$BM50,Règles_bison[Ration]&amp;Règles_bison[Aliment],0)),0),0)*TotalBisonsMales_24_36_mois*NbreJoursNourrirBisonsDaims)</f>
        <v>0</v>
      </c>
      <c r="BP50" s="332">
        <f t="array" ref="BP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18-24],MATCH(ChoixRationBisons&amp;$BM50,Règles_bison[Ration]&amp;Règles_bison[Aliment],0)),0),0)*TotalBisonsMales_18_24_mois*NbreJoursNourrirBisonsDaims)</f>
        <v>0</v>
      </c>
      <c r="BQ50" s="332">
        <f t="array" ref="BQ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12-18],MATCH(ChoixRationBisons&amp;$BM50,Règles_bison[Ration]&amp;Règles_bison[Aliment],0)),0),0)*TotalBisonsMales_12_18_mois*NbreJoursNourrirBisonsDaims)</f>
        <v>0</v>
      </c>
      <c r="BR50" s="332">
        <f t="array" ref="BR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6-12],MATCH(ChoixRationBisons&amp;$BM50,Règles_bison[Ration]&amp;Règles_bison[Aliment],0)),0),0)*TotalBisonsMales_6_12_mois*NbreJoursNourrirBisonsDaims)</f>
        <v>0</v>
      </c>
      <c r="BS50" s="332">
        <f t="array" ref="BS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3-6],MATCH(ChoixRationBisons&amp;$BM50,Règles_bison[Ration]&amp;Règles_bison[Aliment],0)),0),0)*TotalBisonsMales_3_6_mois*NbreJoursNourrirBisonsDaims)</f>
        <v>0</v>
      </c>
      <c r="BT50" s="332">
        <f t="array" ref="BT50">IF(Ration_hivernale_complète_bisons[somme]&gt;0,0,IFERROR(IF(OR(AND(INDEX(Règles_bison[Specificite],MATCH(ChoixRationBisons&amp;$BM50,Règles_bison[Ration]&amp;Règles_bison[Aliment],0))="s1",IF($BM50=ChoixSpécificité1Bisons,1)),
INDEX(Règles_bison[Specificite],MATCH(ChoixRationBisons&amp;$BM50,Règles_bison[Ration]&amp;Règles_bison[Aliment],0))="c"),
INDEX(Règles_bison[Valeur 0-3],MATCH(ChoixRationBisons&amp;$BM50,Règles_bison[Ration]&amp;Règles_bison[Aliment],0)),0),0)*TotalBisonsMales_0_3_mois*NbreJoursNourrirBisonsDaims)</f>
        <v>0</v>
      </c>
      <c r="BU50" s="332">
        <f t="shared" si="0"/>
        <v>0</v>
      </c>
      <c r="BX50" s="355" t="s">
        <v>473</v>
      </c>
      <c r="BY50" s="280" t="s">
        <v>190</v>
      </c>
      <c r="BZ50" s="280" t="s">
        <v>711</v>
      </c>
      <c r="CA50" s="280">
        <v>16</v>
      </c>
      <c r="CB50" s="280">
        <v>12</v>
      </c>
      <c r="CC50" s="280">
        <v>8</v>
      </c>
      <c r="CD50" s="392">
        <v>0</v>
      </c>
      <c r="CE50" s="297"/>
      <c r="CF50" s="297"/>
      <c r="CG50" s="297"/>
      <c r="CH50" s="297"/>
    </row>
    <row r="51" spans="1:86" ht="12.75" customHeight="1" x14ac:dyDescent="0.2">
      <c r="A51" s="352" t="s">
        <v>564</v>
      </c>
      <c r="B51" s="298" t="s">
        <v>569</v>
      </c>
      <c r="C51" s="298">
        <v>100000</v>
      </c>
      <c r="D51" s="406">
        <v>10</v>
      </c>
      <c r="E51" s="283" t="s">
        <v>290</v>
      </c>
      <c r="F51" s="280" t="s">
        <v>500</v>
      </c>
      <c r="G51" s="280">
        <v>2</v>
      </c>
      <c r="H51" s="280"/>
      <c r="I51" s="280">
        <v>3</v>
      </c>
      <c r="N51" s="277"/>
      <c r="O51" s="280" t="s">
        <v>308</v>
      </c>
      <c r="P51" s="280">
        <v>8.4</v>
      </c>
      <c r="Q51" s="280">
        <v>7.7</v>
      </c>
      <c r="R51" s="280">
        <v>7.3</v>
      </c>
      <c r="S51" s="280">
        <v>6.3</v>
      </c>
      <c r="T51" s="280">
        <v>6</v>
      </c>
      <c r="U51" s="280">
        <v>7.1</v>
      </c>
      <c r="V51" s="280"/>
      <c r="W51" s="280">
        <v>9</v>
      </c>
      <c r="X51" s="280">
        <v>14.7</v>
      </c>
      <c r="Y51" s="280">
        <v>90</v>
      </c>
      <c r="Z51" s="280">
        <v>3.9</v>
      </c>
      <c r="AA51" s="280">
        <v>2.8</v>
      </c>
      <c r="AB51" s="280">
        <v>5</v>
      </c>
      <c r="AC51" s="280">
        <v>5</v>
      </c>
      <c r="AD51" s="280">
        <v>0</v>
      </c>
      <c r="AE51" s="280">
        <v>3.6</v>
      </c>
      <c r="AF51" s="280">
        <v>45.2</v>
      </c>
      <c r="AG51" s="280">
        <v>0</v>
      </c>
      <c r="AH51" s="280">
        <v>0</v>
      </c>
      <c r="AI51" s="280">
        <v>0</v>
      </c>
      <c r="AJ51" s="280">
        <v>0</v>
      </c>
      <c r="AK51" s="280">
        <v>0</v>
      </c>
      <c r="AL51" s="280">
        <v>0</v>
      </c>
      <c r="AM51" s="280"/>
      <c r="AN51" s="280">
        <v>0</v>
      </c>
      <c r="AO51" s="280">
        <v>18</v>
      </c>
      <c r="AP51" s="280">
        <v>0</v>
      </c>
      <c r="AQ51" s="280">
        <v>0</v>
      </c>
      <c r="AR51" s="280">
        <v>0</v>
      </c>
      <c r="AS51" s="280">
        <v>0</v>
      </c>
      <c r="AT51" s="280">
        <v>0</v>
      </c>
      <c r="AU51" s="280">
        <v>0</v>
      </c>
      <c r="AV51" s="280">
        <v>0</v>
      </c>
      <c r="AW51" s="280">
        <v>8.5</v>
      </c>
      <c r="AX51" s="280">
        <v>10</v>
      </c>
      <c r="AY51" s="280">
        <v>10</v>
      </c>
      <c r="BC51" s="284" t="s">
        <v>532</v>
      </c>
      <c r="BD51" s="296">
        <v>320</v>
      </c>
      <c r="BF51" s="284" t="s">
        <v>532</v>
      </c>
      <c r="BG51" s="296">
        <v>384</v>
      </c>
      <c r="BL51" s="305"/>
      <c r="BM51" s="332" t="s">
        <v>187</v>
      </c>
      <c r="BN51" s="332">
        <f t="array" ref="BN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36 et plus],MATCH(ChoixRationBisons&amp;$BM51,Règles_bison[Ration]&amp;Règles_bison[Aliment],0)),0),0)*TotalBisonsMalesAdultes*NbreJoursNourrirBisonsDaims)</f>
        <v>0</v>
      </c>
      <c r="BO51" s="332">
        <f t="array" ref="BO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24-36],MATCH(ChoixRationBisons&amp;$BM51,Règles_bison[Ration]&amp;Règles_bison[Aliment],0)),0),0)*TotalBisonsMales_24_36_mois*NbreJoursNourrirBisonsDaims)</f>
        <v>0</v>
      </c>
      <c r="BP51" s="332">
        <f t="array" ref="BP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18-24],MATCH(ChoixRationBisons&amp;$BM51,Règles_bison[Ration]&amp;Règles_bison[Aliment],0)),0),0)*TotalBisonsMales_18_24_mois*NbreJoursNourrirBisonsDaims)</f>
        <v>0</v>
      </c>
      <c r="BQ51" s="332">
        <f t="array" ref="BQ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12-18],MATCH(ChoixRationBisons&amp;$BM51,Règles_bison[Ration]&amp;Règles_bison[Aliment],0)),0),0)*TotalBisonsMales_12_18_mois*NbreJoursNourrirBisonsDaims)</f>
        <v>0</v>
      </c>
      <c r="BR51" s="332">
        <f t="array" ref="BR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6-12],MATCH(ChoixRationBisons&amp;$BM51,Règles_bison[Ration]&amp;Règles_bison[Aliment],0)),0),0)*TotalBisonsMales_6_12_mois*NbreJoursNourrirBisonsDaims)</f>
        <v>0</v>
      </c>
      <c r="BS51" s="332">
        <f t="array" ref="BS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3-6],MATCH(ChoixRationBisons&amp;$BM51,Règles_bison[Ration]&amp;Règles_bison[Aliment],0)),0),0)*TotalBisonsMales_3_6_mois*NbreJoursNourrirBisonsDaims)</f>
        <v>0</v>
      </c>
      <c r="BT51" s="332">
        <f t="array" ref="BT51">IF(Ration_hivernale_complète_bisons[somme]&gt;0,0,IFERROR(IF(OR(AND(INDEX(Règles_bison[Specificite],MATCH(ChoixRationBisons&amp;$BM51,Règles_bison[Ration]&amp;Règles_bison[Aliment],0))="s1",IF($BM51=ChoixSpécificité1Bisons,1)),
INDEX(Règles_bison[Specificite],MATCH(ChoixRationBisons&amp;$BM51,Règles_bison[Ration]&amp;Règles_bison[Aliment],0))="c"),
INDEX(Règles_bison[Valeur 0-3],MATCH(ChoixRationBisons&amp;$BM51,Règles_bison[Ration]&amp;Règles_bison[Aliment],0)),0),0)*TotalBisonsMales_0_3_mois*NbreJoursNourrirBisonsDaims)</f>
        <v>0</v>
      </c>
      <c r="BU51" s="332">
        <f t="shared" si="0"/>
        <v>0</v>
      </c>
      <c r="BX51" s="355" t="s">
        <v>473</v>
      </c>
      <c r="BY51" s="280" t="s">
        <v>124</v>
      </c>
      <c r="BZ51" s="280" t="s">
        <v>711</v>
      </c>
      <c r="CA51" s="280">
        <v>1.2</v>
      </c>
      <c r="CB51" s="280">
        <v>1.2</v>
      </c>
      <c r="CC51" s="280">
        <v>0.8</v>
      </c>
      <c r="CD51" s="392">
        <v>2.8</v>
      </c>
      <c r="CE51" s="297"/>
      <c r="CF51" s="297"/>
      <c r="CG51" s="297"/>
      <c r="CH51" s="297"/>
    </row>
    <row r="52" spans="1:86" ht="12.75" customHeight="1" x14ac:dyDescent="0.2">
      <c r="A52" s="278"/>
      <c r="B52" s="278"/>
      <c r="C52" s="278"/>
      <c r="D52" s="278"/>
      <c r="F52" s="280" t="s">
        <v>501</v>
      </c>
      <c r="G52" s="280"/>
      <c r="H52" s="280">
        <v>5</v>
      </c>
      <c r="I52" s="280">
        <v>3</v>
      </c>
      <c r="N52" s="277"/>
      <c r="O52" s="280" t="s">
        <v>309</v>
      </c>
      <c r="P52" s="280">
        <v>7.7</v>
      </c>
      <c r="Q52" s="280">
        <v>7.1</v>
      </c>
      <c r="R52" s="280">
        <v>6.5</v>
      </c>
      <c r="S52" s="280">
        <v>5.9</v>
      </c>
      <c r="T52" s="280">
        <v>5.6</v>
      </c>
      <c r="U52" s="280">
        <v>6.2</v>
      </c>
      <c r="V52" s="280"/>
      <c r="W52" s="280">
        <v>9.1999999999999993</v>
      </c>
      <c r="X52" s="280">
        <v>10.9</v>
      </c>
      <c r="Y52" s="280">
        <v>75</v>
      </c>
      <c r="Z52" s="280">
        <v>3.6</v>
      </c>
      <c r="AA52" s="280">
        <v>2.8</v>
      </c>
      <c r="AB52" s="280">
        <v>4.8</v>
      </c>
      <c r="AC52" s="280">
        <v>4</v>
      </c>
      <c r="AD52" s="280">
        <v>2.8</v>
      </c>
      <c r="AE52" s="280">
        <v>3.5</v>
      </c>
      <c r="AF52" s="280">
        <v>48</v>
      </c>
      <c r="AG52" s="280">
        <v>0.8</v>
      </c>
      <c r="AH52" s="280">
        <v>7</v>
      </c>
      <c r="AI52" s="280">
        <v>15</v>
      </c>
      <c r="AJ52" s="280">
        <v>13</v>
      </c>
      <c r="AK52" s="280">
        <v>0</v>
      </c>
      <c r="AL52" s="280">
        <v>0</v>
      </c>
      <c r="AM52" s="280"/>
      <c r="AN52" s="280">
        <v>0</v>
      </c>
      <c r="AO52" s="280">
        <v>20</v>
      </c>
      <c r="AP52" s="280">
        <v>15</v>
      </c>
      <c r="AQ52" s="280">
        <v>0</v>
      </c>
      <c r="AR52" s="280">
        <v>0</v>
      </c>
      <c r="AS52" s="280">
        <v>0</v>
      </c>
      <c r="AT52" s="280">
        <v>0</v>
      </c>
      <c r="AU52" s="280">
        <v>0</v>
      </c>
      <c r="AV52" s="280">
        <v>0</v>
      </c>
      <c r="AW52" s="280">
        <v>8.5</v>
      </c>
      <c r="AX52" s="280">
        <v>10</v>
      </c>
      <c r="AY52" s="280">
        <v>10</v>
      </c>
      <c r="BC52" s="284" t="s">
        <v>533</v>
      </c>
      <c r="BD52" s="296">
        <v>340</v>
      </c>
      <c r="BF52" s="284" t="s">
        <v>533</v>
      </c>
      <c r="BG52" s="296">
        <v>408</v>
      </c>
      <c r="BL52" s="305"/>
      <c r="BM52" s="332" t="s">
        <v>188</v>
      </c>
      <c r="BN52" s="332">
        <f t="array" ref="BN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36 et plus],MATCH(ChoixRationBisons&amp;$BM52,Règles_bison[Ration]&amp;Règles_bison[Aliment],0)),0),0)*TotalBisonsMalesAdultes*NbreJoursNourrirBisonsDaims)</f>
        <v>0</v>
      </c>
      <c r="BO52" s="332">
        <f t="array" ref="BO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24-36],MATCH(ChoixRationBisons&amp;$BM52,Règles_bison[Ration]&amp;Règles_bison[Aliment],0)),0),0)*TotalBisonsMales_24_36_mois*NbreJoursNourrirBisonsDaims)</f>
        <v>0</v>
      </c>
      <c r="BP52" s="332">
        <f t="array" ref="BP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18-24],MATCH(ChoixRationBisons&amp;$BM52,Règles_bison[Ration]&amp;Règles_bison[Aliment],0)),0),0)*TotalBisonsMales_18_24_mois*NbreJoursNourrirBisonsDaims)</f>
        <v>0</v>
      </c>
      <c r="BQ52" s="332">
        <f t="array" ref="BQ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12-18],MATCH(ChoixRationBisons&amp;$BM52,Règles_bison[Ration]&amp;Règles_bison[Aliment],0)),0),0)*TotalBisonsMales_12_18_mois*NbreJoursNourrirBisonsDaims)</f>
        <v>0</v>
      </c>
      <c r="BR52" s="332">
        <f t="array" ref="BR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6-12],MATCH(ChoixRationBisons&amp;$BM52,Règles_bison[Ration]&amp;Règles_bison[Aliment],0)),0),0)*TotalBisonsMales_6_12_mois*NbreJoursNourrirBisonsDaims)</f>
        <v>0</v>
      </c>
      <c r="BS52" s="332">
        <f t="array" ref="BS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3-6],MATCH(ChoixRationBisons&amp;$BM52,Règles_bison[Ration]&amp;Règles_bison[Aliment],0)),0),0)*TotalBisonsMales_3_6_mois*NbreJoursNourrirBisonsDaims)</f>
        <v>0</v>
      </c>
      <c r="BT52" s="332">
        <f t="array" ref="BT52">IF(Ration_hivernale_complète_bisons[somme]&gt;0,0,IFERROR(IF(OR(AND(INDEX(Règles_bison[Specificite],MATCH(ChoixRationBisons&amp;$BM52,Règles_bison[Ration]&amp;Règles_bison[Aliment],0))="s1",IF($BM52=ChoixSpécificité1Bisons,1)),
INDEX(Règles_bison[Specificite],MATCH(ChoixRationBisons&amp;$BM52,Règles_bison[Ration]&amp;Règles_bison[Aliment],0))="c"),
INDEX(Règles_bison[Valeur 0-3],MATCH(ChoixRationBisons&amp;$BM52,Règles_bison[Ration]&amp;Règles_bison[Aliment],0)),0),0)*TotalBisonsMales_0_3_mois*NbreJoursNourrirBisonsDaims)</f>
        <v>0</v>
      </c>
      <c r="BU52" s="332">
        <f t="shared" si="0"/>
        <v>0</v>
      </c>
      <c r="BX52" s="355" t="s">
        <v>473</v>
      </c>
      <c r="BY52" s="280" t="s">
        <v>383</v>
      </c>
      <c r="BZ52" s="280" t="s">
        <v>711</v>
      </c>
      <c r="CA52" s="280">
        <v>1.6</v>
      </c>
      <c r="CB52" s="280">
        <v>1.4</v>
      </c>
      <c r="CC52" s="280">
        <v>1.2</v>
      </c>
      <c r="CD52" s="392">
        <v>1</v>
      </c>
      <c r="CE52" s="297"/>
      <c r="CF52" s="297"/>
      <c r="CG52" s="297"/>
      <c r="CH52" s="297"/>
    </row>
    <row r="53" spans="1:86" ht="12.75" customHeight="1" x14ac:dyDescent="0.2">
      <c r="A53" s="278"/>
      <c r="N53" s="277"/>
      <c r="O53" s="280" t="s">
        <v>310</v>
      </c>
      <c r="P53" s="280">
        <v>4.8</v>
      </c>
      <c r="Q53" s="280">
        <v>4.5999999999999996</v>
      </c>
      <c r="R53" s="280">
        <v>3.5</v>
      </c>
      <c r="S53" s="280">
        <v>3.3</v>
      </c>
      <c r="T53" s="280">
        <v>3.2</v>
      </c>
      <c r="U53" s="280">
        <v>3.9</v>
      </c>
      <c r="V53" s="280"/>
      <c r="W53" s="280">
        <v>9.4</v>
      </c>
      <c r="X53" s="280">
        <v>8.6</v>
      </c>
      <c r="Y53" s="280">
        <v>0</v>
      </c>
      <c r="Z53" s="280">
        <v>2.8</v>
      </c>
      <c r="AA53" s="280">
        <v>2</v>
      </c>
      <c r="AB53" s="280">
        <v>2.7</v>
      </c>
      <c r="AC53" s="280">
        <v>2.2999999999999998</v>
      </c>
      <c r="AD53" s="280">
        <v>2.8</v>
      </c>
      <c r="AE53" s="280">
        <v>0</v>
      </c>
      <c r="AF53" s="280">
        <v>24.9</v>
      </c>
      <c r="AG53" s="280">
        <v>0</v>
      </c>
      <c r="AH53" s="280">
        <v>0</v>
      </c>
      <c r="AI53" s="280">
        <v>15</v>
      </c>
      <c r="AJ53" s="280">
        <v>13</v>
      </c>
      <c r="AK53" s="280">
        <v>1.6</v>
      </c>
      <c r="AL53" s="280">
        <v>11</v>
      </c>
      <c r="AM53" s="280"/>
      <c r="AN53" s="280">
        <v>0</v>
      </c>
      <c r="AO53" s="280">
        <v>39</v>
      </c>
      <c r="AP53" s="280">
        <v>29</v>
      </c>
      <c r="AQ53" s="280">
        <v>24</v>
      </c>
      <c r="AR53" s="280">
        <v>10</v>
      </c>
      <c r="AS53" s="280">
        <v>12</v>
      </c>
      <c r="AT53" s="280">
        <v>0</v>
      </c>
      <c r="AU53" s="280">
        <v>3</v>
      </c>
      <c r="AV53" s="280">
        <v>4</v>
      </c>
      <c r="AW53" s="280">
        <v>8.5</v>
      </c>
      <c r="AX53" s="280">
        <v>10</v>
      </c>
      <c r="AY53" s="280">
        <v>10</v>
      </c>
      <c r="BC53" s="284" t="s">
        <v>534</v>
      </c>
      <c r="BD53" s="296">
        <v>360</v>
      </c>
      <c r="BF53" s="284" t="s">
        <v>534</v>
      </c>
      <c r="BG53" s="296">
        <v>432</v>
      </c>
      <c r="BL53" s="305"/>
      <c r="BM53" s="332" t="s">
        <v>190</v>
      </c>
      <c r="BN53" s="332">
        <f t="array" ref="BN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36 et plus],MATCH(ChoixRationBisons&amp;$BM53,Règles_bison[Ration]&amp;Règles_bison[Aliment],0)),0),0)*TotalBisonsMalesAdultes*NbreJoursNourrirBisonsDaims)</f>
        <v>0</v>
      </c>
      <c r="BO53" s="332">
        <f t="array" ref="BO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24-36],MATCH(ChoixRationBisons&amp;$BM53,Règles_bison[Ration]&amp;Règles_bison[Aliment],0)),0),0)*TotalBisonsMales_24_36_mois*NbreJoursNourrirBisonsDaims)</f>
        <v>0</v>
      </c>
      <c r="BP53" s="332">
        <f t="array" ref="BP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18-24],MATCH(ChoixRationBisons&amp;$BM53,Règles_bison[Ration]&amp;Règles_bison[Aliment],0)),0),0)*TotalBisonsMales_18_24_mois*NbreJoursNourrirBisonsDaims)</f>
        <v>0</v>
      </c>
      <c r="BQ53" s="332">
        <f t="array" ref="BQ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12-18],MATCH(ChoixRationBisons&amp;$BM53,Règles_bison[Ration]&amp;Règles_bison[Aliment],0)),0),0)*TotalBisonsMales_12_18_mois*NbreJoursNourrirBisonsDaims)</f>
        <v>0</v>
      </c>
      <c r="BR53" s="332">
        <f t="array" ref="BR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6-12],MATCH(ChoixRationBisons&amp;$BM53,Règles_bison[Ration]&amp;Règles_bison[Aliment],0)),0),0)*TotalBisonsMales_6_12_mois*NbreJoursNourrirBisonsDaims)</f>
        <v>0</v>
      </c>
      <c r="BS53" s="332">
        <f t="array" ref="BS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3-6],MATCH(ChoixRationBisons&amp;$BM53,Règles_bison[Ration]&amp;Règles_bison[Aliment],0)),0),0)*TotalBisonsMales_3_6_mois*NbreJoursNourrirBisonsDaims)</f>
        <v>0</v>
      </c>
      <c r="BT53" s="332">
        <f t="array" ref="BT53">IF(Ration_hivernale_complète_bisons[somme]&gt;0,0,IFERROR(IF(OR(AND(INDEX(Règles_bison[Specificite],MATCH(ChoixRationBisons&amp;$BM53,Règles_bison[Ration]&amp;Règles_bison[Aliment],0))="s1",IF($BM53=ChoixSpécificité1Bisons,1)),
INDEX(Règles_bison[Specificite],MATCH(ChoixRationBisons&amp;$BM53,Règles_bison[Ration]&amp;Règles_bison[Aliment],0))="c"),
INDEX(Règles_bison[Valeur 0-3],MATCH(ChoixRationBisons&amp;$BM53,Règles_bison[Ration]&amp;Règles_bison[Aliment],0)),0),0)*TotalBisonsMales_0_3_mois*NbreJoursNourrirBisonsDaims)</f>
        <v>0</v>
      </c>
      <c r="BU53" s="332">
        <f t="shared" si="0"/>
        <v>0</v>
      </c>
      <c r="BX53" s="355" t="s">
        <v>473</v>
      </c>
      <c r="BY53" s="280" t="s">
        <v>160</v>
      </c>
      <c r="BZ53" s="280" t="s">
        <v>712</v>
      </c>
      <c r="CA53" s="280">
        <v>1.6</v>
      </c>
      <c r="CB53" s="280">
        <v>1.4</v>
      </c>
      <c r="CC53" s="280">
        <v>1.2</v>
      </c>
      <c r="CD53" s="392">
        <v>1</v>
      </c>
      <c r="CE53" s="297"/>
      <c r="CF53" s="297"/>
      <c r="CG53" s="297"/>
      <c r="CH53" s="297"/>
    </row>
    <row r="54" spans="1:86" ht="12.75" customHeight="1" x14ac:dyDescent="0.2">
      <c r="A54" s="340" t="s">
        <v>546</v>
      </c>
      <c r="B54" s="353" t="s">
        <v>547</v>
      </c>
      <c r="C54" s="354" t="s">
        <v>548</v>
      </c>
      <c r="F54" s="284" t="s">
        <v>486</v>
      </c>
      <c r="G54" s="285" t="s">
        <v>487</v>
      </c>
      <c r="H54" s="280" t="s">
        <v>98</v>
      </c>
      <c r="I54" s="280" t="s">
        <v>163</v>
      </c>
      <c r="N54" s="277"/>
      <c r="O54" s="280" t="s">
        <v>75</v>
      </c>
      <c r="P54" s="280">
        <v>5.2</v>
      </c>
      <c r="Q54" s="280">
        <v>5.2</v>
      </c>
      <c r="R54" s="280">
        <v>3.6</v>
      </c>
      <c r="S54" s="280">
        <v>3.7</v>
      </c>
      <c r="T54" s="280">
        <v>3.6</v>
      </c>
      <c r="U54" s="280">
        <v>5.0999999999999996</v>
      </c>
      <c r="V54" s="280"/>
      <c r="W54" s="280">
        <v>6.9</v>
      </c>
      <c r="X54" s="280">
        <v>11.7</v>
      </c>
      <c r="Y54" s="280">
        <v>0</v>
      </c>
      <c r="Z54" s="280">
        <v>3.1</v>
      </c>
      <c r="AA54" s="280">
        <v>1.9</v>
      </c>
      <c r="AB54" s="280">
        <v>2.8</v>
      </c>
      <c r="AC54" s="280">
        <v>3.1</v>
      </c>
      <c r="AD54" s="280">
        <v>0</v>
      </c>
      <c r="AE54" s="280">
        <v>0</v>
      </c>
      <c r="AF54" s="280">
        <v>28.2</v>
      </c>
      <c r="AG54" s="280">
        <v>0</v>
      </c>
      <c r="AH54" s="280">
        <v>0</v>
      </c>
      <c r="AI54" s="280">
        <v>0</v>
      </c>
      <c r="AJ54" s="280">
        <v>0</v>
      </c>
      <c r="AK54" s="280">
        <v>0</v>
      </c>
      <c r="AL54" s="280">
        <v>9.3000000000000007</v>
      </c>
      <c r="AM54" s="280"/>
      <c r="AN54" s="280">
        <v>2.6</v>
      </c>
      <c r="AO54" s="280">
        <v>35</v>
      </c>
      <c r="AP54" s="280">
        <v>0</v>
      </c>
      <c r="AQ54" s="280">
        <v>0</v>
      </c>
      <c r="AR54" s="280">
        <v>0</v>
      </c>
      <c r="AS54" s="280">
        <v>0</v>
      </c>
      <c r="AT54" s="280">
        <v>0</v>
      </c>
      <c r="AU54" s="280">
        <v>3</v>
      </c>
      <c r="AV54" s="280">
        <v>0</v>
      </c>
      <c r="AW54" s="280">
        <v>8.5</v>
      </c>
      <c r="AX54" s="280">
        <v>10</v>
      </c>
      <c r="AY54" s="280">
        <v>10</v>
      </c>
      <c r="BC54" s="284" t="s">
        <v>535</v>
      </c>
      <c r="BD54" s="296">
        <v>380</v>
      </c>
      <c r="BF54" s="284" t="s">
        <v>535</v>
      </c>
      <c r="BG54" s="296">
        <v>456</v>
      </c>
      <c r="BL54" s="305"/>
      <c r="BM54" s="332" t="s">
        <v>189</v>
      </c>
      <c r="BN54" s="332">
        <f t="array" ref="BN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36 et plus],MATCH(ChoixRationBisons&amp;$BM54,Règles_bison[Ration]&amp;Règles_bison[Aliment],0)),0),0)*TotalBisonsMalesAdultes*NbreJoursNourrirBisonsDaims)</f>
        <v>0</v>
      </c>
      <c r="BO54" s="332">
        <f t="array" ref="BO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24-36],MATCH(ChoixRationBisons&amp;$BM54,Règles_bison[Ration]&amp;Règles_bison[Aliment],0)),0),0)*TotalBisonsMales_24_36_mois*NbreJoursNourrirBisonsDaims)</f>
        <v>0</v>
      </c>
      <c r="BP54" s="332">
        <f t="array" ref="BP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18-24],MATCH(ChoixRationBisons&amp;$BM54,Règles_bison[Ration]&amp;Règles_bison[Aliment],0)),0),0)*TotalBisonsMales_18_24_mois*NbreJoursNourrirBisonsDaims)</f>
        <v>0</v>
      </c>
      <c r="BQ54" s="332">
        <f t="array" ref="BQ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12-18],MATCH(ChoixRationBisons&amp;$BM54,Règles_bison[Ration]&amp;Règles_bison[Aliment],0)),0),0)*TotalBisonsMales_12_18_mois*NbreJoursNourrirBisonsDaims)</f>
        <v>0</v>
      </c>
      <c r="BR54" s="332">
        <f t="array" ref="BR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6-12],MATCH(ChoixRationBisons&amp;$BM54,Règles_bison[Ration]&amp;Règles_bison[Aliment],0)),0),0)*TotalBisonsMales_6_12_mois*NbreJoursNourrirBisonsDaims)</f>
        <v>0</v>
      </c>
      <c r="BS54" s="332">
        <f t="array" ref="BS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3-6],MATCH(ChoixRationBisons&amp;$BM54,Règles_bison[Ration]&amp;Règles_bison[Aliment],0)),0),0)*TotalBisonsMales_3_6_mois*NbreJoursNourrirBisonsDaims)</f>
        <v>0</v>
      </c>
      <c r="BT54" s="332">
        <f t="array" ref="BT54">IF(Ration_hivernale_complète_bisons[somme]&gt;0,0,IFERROR(IF(OR(AND(INDEX(Règles_bison[Specificite],MATCH(ChoixRationBisons&amp;$BM54,Règles_bison[Ration]&amp;Règles_bison[Aliment],0))="s1",IF($BM54=ChoixSpécificité1Bisons,1)),
INDEX(Règles_bison[Specificite],MATCH(ChoixRationBisons&amp;$BM54,Règles_bison[Ration]&amp;Règles_bison[Aliment],0))="c"),
INDEX(Règles_bison[Valeur 0-3],MATCH(ChoixRationBisons&amp;$BM54,Règles_bison[Ration]&amp;Règles_bison[Aliment],0)),0),0)*TotalBisonsMales_0_3_mois*NbreJoursNourrirBisonsDaims)</f>
        <v>0</v>
      </c>
      <c r="BU54" s="332">
        <f t="shared" si="0"/>
        <v>0</v>
      </c>
      <c r="BX54" s="355" t="s">
        <v>473</v>
      </c>
      <c r="BY54" s="280" t="s">
        <v>47</v>
      </c>
      <c r="BZ54" s="280" t="s">
        <v>712</v>
      </c>
      <c r="CA54" s="280">
        <v>1.6</v>
      </c>
      <c r="CB54" s="280">
        <v>1.4</v>
      </c>
      <c r="CC54" s="280">
        <v>1.2</v>
      </c>
      <c r="CD54" s="392">
        <v>1</v>
      </c>
      <c r="CE54" s="297"/>
      <c r="CF54" s="297"/>
      <c r="CG54" s="297"/>
      <c r="CH54" s="297"/>
    </row>
    <row r="55" spans="1:86" ht="12.75" customHeight="1" x14ac:dyDescent="0.2">
      <c r="A55" s="355">
        <v>1</v>
      </c>
      <c r="B55" s="356">
        <v>0</v>
      </c>
      <c r="C55" s="357">
        <v>0</v>
      </c>
      <c r="F55" s="280" t="s">
        <v>488</v>
      </c>
      <c r="G55" s="280"/>
      <c r="H55" s="280">
        <v>5</v>
      </c>
      <c r="I55" s="280"/>
      <c r="N55" s="277"/>
      <c r="O55" s="280" t="s">
        <v>295</v>
      </c>
      <c r="P55" s="280">
        <v>6.4</v>
      </c>
      <c r="Q55" s="280">
        <v>6</v>
      </c>
      <c r="R55" s="280">
        <v>5.5</v>
      </c>
      <c r="S55" s="280">
        <v>3.9</v>
      </c>
      <c r="T55" s="280">
        <v>3.8</v>
      </c>
      <c r="U55" s="280">
        <v>6.2</v>
      </c>
      <c r="V55" s="280"/>
      <c r="W55" s="280">
        <v>7.5</v>
      </c>
      <c r="X55" s="280">
        <v>10.4</v>
      </c>
      <c r="Y55" s="280">
        <v>60</v>
      </c>
      <c r="Z55" s="280">
        <v>3</v>
      </c>
      <c r="AA55" s="280">
        <v>2.8</v>
      </c>
      <c r="AB55" s="280">
        <v>4.0999999999999996</v>
      </c>
      <c r="AC55" s="280">
        <v>3.1</v>
      </c>
      <c r="AD55" s="280">
        <v>2.2999999999999998</v>
      </c>
      <c r="AE55" s="280">
        <v>0</v>
      </c>
      <c r="AF55" s="280">
        <v>38.1</v>
      </c>
      <c r="AG55" s="280">
        <v>0</v>
      </c>
      <c r="AH55" s="280">
        <v>0</v>
      </c>
      <c r="AI55" s="280">
        <v>0</v>
      </c>
      <c r="AJ55" s="280">
        <v>0</v>
      </c>
      <c r="AK55" s="280">
        <v>0</v>
      </c>
      <c r="AL55" s="280">
        <v>8.8000000000000007</v>
      </c>
      <c r="AM55" s="280"/>
      <c r="AN55" s="280">
        <v>0</v>
      </c>
      <c r="AO55" s="280">
        <v>21</v>
      </c>
      <c r="AP55" s="280">
        <v>0</v>
      </c>
      <c r="AQ55" s="280">
        <v>0</v>
      </c>
      <c r="AR55" s="280">
        <v>10</v>
      </c>
      <c r="AS55" s="280">
        <v>0</v>
      </c>
      <c r="AT55" s="280">
        <v>7</v>
      </c>
      <c r="AU55" s="280">
        <v>0</v>
      </c>
      <c r="AV55" s="280">
        <v>0</v>
      </c>
      <c r="AW55" s="280">
        <v>8.5</v>
      </c>
      <c r="AX55" s="280">
        <v>10</v>
      </c>
      <c r="AY55" s="280">
        <v>10</v>
      </c>
      <c r="BC55" s="284" t="s">
        <v>536</v>
      </c>
      <c r="BD55" s="296">
        <v>400</v>
      </c>
      <c r="BF55" s="284" t="s">
        <v>536</v>
      </c>
      <c r="BG55" s="296">
        <v>480</v>
      </c>
      <c r="BL55" s="305"/>
      <c r="BM55" s="332" t="s">
        <v>730</v>
      </c>
      <c r="BN55" s="332">
        <f t="array" ref="BN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36 et plus],MATCH(ChoixRationBisons&amp;$BM55,Règles_bison[Ration]&amp;Règles_bison[Aliment],0)),0),0)*TotalBisonsMalesAdultes*NbreJoursNourrirBisonsDaims)</f>
        <v>0</v>
      </c>
      <c r="BO55" s="332">
        <f t="array" ref="BO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24-36],MATCH(ChoixRationBisons&amp;$BM55,Règles_bison[Ration]&amp;Règles_bison[Aliment],0)),0),0)*TotalBisonsMales_24_36_mois*NbreJoursNourrirBisonsDaims)</f>
        <v>0</v>
      </c>
      <c r="BP55" s="332">
        <f t="array" ref="BP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18-24],MATCH(ChoixRationBisons&amp;$BM55,Règles_bison[Ration]&amp;Règles_bison[Aliment],0)),0),0)*TotalBisonsMales_18_24_mois*NbreJoursNourrirBisonsDaims)</f>
        <v>0</v>
      </c>
      <c r="BQ55" s="332">
        <f t="array" ref="BQ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12-18],MATCH(ChoixRationBisons&amp;$BM55,Règles_bison[Ration]&amp;Règles_bison[Aliment],0)),0),0)*TotalBisonsMales_12_18_mois*NbreJoursNourrirBisonsDaims)</f>
        <v>0</v>
      </c>
      <c r="BR55" s="332">
        <f t="array" ref="BR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6-12],MATCH(ChoixRationBisons&amp;$BM55,Règles_bison[Ration]&amp;Règles_bison[Aliment],0)),0),0)*TotalBisonsMales_6_12_mois*NbreJoursNourrirBisonsDaims)</f>
        <v>0</v>
      </c>
      <c r="BS55" s="332">
        <f t="array" ref="BS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3-6],MATCH(ChoixRationBisons&amp;$BM55,Règles_bison[Ration]&amp;Règles_bison[Aliment],0)),0),0)*TotalBisonsMales_3_6_mois*NbreJoursNourrirBisonsDaims)</f>
        <v>0</v>
      </c>
      <c r="BT55" s="332">
        <f t="array" ref="BT55">IF(Ration_hivernale_complète_bisons[somme]&gt;0,0,IFERROR(IF(OR(AND(INDEX(Règles_bison[Specificite],MATCH(ChoixRationBisons&amp;$BM55,Règles_bison[Ration]&amp;Règles_bison[Aliment],0))="s1",IF($BM55=ChoixSpécificité1Bisons,1)),
INDEX(Règles_bison[Specificite],MATCH(ChoixRationBisons&amp;$BM55,Règles_bison[Ration]&amp;Règles_bison[Aliment],0))="c"),
INDEX(Règles_bison[Valeur 0-3],MATCH(ChoixRationBisons&amp;$BM55,Règles_bison[Ration]&amp;Règles_bison[Aliment],0)),0),0)*TotalBisonsMales_0_3_mois*NbreJoursNourrirBisonsDaims)</f>
        <v>0</v>
      </c>
      <c r="BU55" s="332">
        <f t="shared" si="0"/>
        <v>0</v>
      </c>
      <c r="BX55" s="355" t="s">
        <v>473</v>
      </c>
      <c r="BY55" s="280" t="s">
        <v>730</v>
      </c>
      <c r="BZ55" s="280" t="s">
        <v>711</v>
      </c>
      <c r="CA55" s="280">
        <v>0.08</v>
      </c>
      <c r="CB55" s="280">
        <v>0.04</v>
      </c>
      <c r="CC55" s="280">
        <v>0.04</v>
      </c>
      <c r="CD55" s="392">
        <v>0.04</v>
      </c>
      <c r="CE55" s="297"/>
      <c r="CF55" s="297"/>
      <c r="CG55" s="297"/>
      <c r="CH55" s="297"/>
    </row>
    <row r="56" spans="1:86" ht="12.75" customHeight="1" x14ac:dyDescent="0.2">
      <c r="A56" s="355">
        <v>2</v>
      </c>
      <c r="B56" s="356">
        <v>0.05</v>
      </c>
      <c r="C56" s="357">
        <v>0.15</v>
      </c>
      <c r="F56" s="280" t="s">
        <v>501</v>
      </c>
      <c r="G56" s="280"/>
      <c r="H56" s="280">
        <v>5</v>
      </c>
      <c r="I56" s="280"/>
      <c r="N56" s="277"/>
      <c r="O56" s="280" t="s">
        <v>99</v>
      </c>
      <c r="P56" s="280">
        <v>5.6</v>
      </c>
      <c r="Q56" s="280">
        <v>5.0999999999999996</v>
      </c>
      <c r="R56" s="280">
        <v>4.0999999999999996</v>
      </c>
      <c r="S56" s="280">
        <v>3.3</v>
      </c>
      <c r="T56" s="280">
        <v>3.2</v>
      </c>
      <c r="U56" s="280">
        <v>4.5999999999999996</v>
      </c>
      <c r="V56" s="280"/>
      <c r="W56" s="280">
        <v>9.6999999999999993</v>
      </c>
      <c r="X56" s="280">
        <v>11.6</v>
      </c>
      <c r="Y56" s="280">
        <v>0</v>
      </c>
      <c r="Z56" s="280">
        <v>2.9</v>
      </c>
      <c r="AA56" s="280">
        <v>2.1</v>
      </c>
      <c r="AB56" s="280">
        <v>3.2</v>
      </c>
      <c r="AC56" s="280">
        <v>2</v>
      </c>
      <c r="AD56" s="280">
        <v>2.7</v>
      </c>
      <c r="AE56" s="280">
        <v>0</v>
      </c>
      <c r="AF56" s="280">
        <v>30.7</v>
      </c>
      <c r="AG56" s="280">
        <v>0.8</v>
      </c>
      <c r="AH56" s="280">
        <v>7</v>
      </c>
      <c r="AI56" s="280">
        <v>12</v>
      </c>
      <c r="AJ56" s="280">
        <v>11</v>
      </c>
      <c r="AK56" s="280">
        <v>1.5</v>
      </c>
      <c r="AL56" s="280">
        <v>10</v>
      </c>
      <c r="AM56" s="280"/>
      <c r="AN56" s="280">
        <v>2.6</v>
      </c>
      <c r="AO56" s="280">
        <v>43</v>
      </c>
      <c r="AP56" s="280">
        <v>17</v>
      </c>
      <c r="AQ56" s="280">
        <v>11</v>
      </c>
      <c r="AR56" s="280">
        <v>10</v>
      </c>
      <c r="AS56" s="280">
        <v>12</v>
      </c>
      <c r="AT56" s="280">
        <v>0</v>
      </c>
      <c r="AU56" s="280">
        <v>3</v>
      </c>
      <c r="AV56" s="280">
        <v>0</v>
      </c>
      <c r="AW56" s="280">
        <v>8.5</v>
      </c>
      <c r="AX56" s="280">
        <v>10</v>
      </c>
      <c r="AY56" s="280">
        <v>10</v>
      </c>
      <c r="BC56" s="278"/>
      <c r="BD56" s="278"/>
      <c r="BE56" s="278"/>
      <c r="BF56" s="278"/>
      <c r="BL56" s="305"/>
      <c r="BM56" s="332" t="s">
        <v>383</v>
      </c>
      <c r="BN56" s="332">
        <f t="array" ref="BN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36 et plus],MATCH(ChoixRationBisons&amp;$BM56,Règles_bison[Ration]&amp;Règles_bison[Aliment],0)),0),0)*TotalBisonsMalesAdultes*NbreJoursNourrirBisonsDaims)</f>
        <v>0</v>
      </c>
      <c r="BO56" s="332">
        <f t="array" ref="BO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24-36],MATCH(ChoixRationBisons&amp;$BM56,Règles_bison[Ration]&amp;Règles_bison[Aliment],0)),0),0)*TotalBisonsMales_24_36_mois*NbreJoursNourrirBisonsDaims)</f>
        <v>0</v>
      </c>
      <c r="BP56" s="332">
        <f t="array" ref="BP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18-24],MATCH(ChoixRationBisons&amp;$BM56,Règles_bison[Ration]&amp;Règles_bison[Aliment],0)),0),0)*TotalBisonsMales_18_24_mois*NbreJoursNourrirBisonsDaims)</f>
        <v>0</v>
      </c>
      <c r="BQ56" s="332">
        <f t="array" ref="BQ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12-18],MATCH(ChoixRationBisons&amp;$BM56,Règles_bison[Ration]&amp;Règles_bison[Aliment],0)),0),0)*TotalBisonsMales_12_18_mois*NbreJoursNourrirBisonsDaims)</f>
        <v>0</v>
      </c>
      <c r="BR56" s="332">
        <f t="array" ref="BR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6-12],MATCH(ChoixRationBisons&amp;$BM56,Règles_bison[Ration]&amp;Règles_bison[Aliment],0)),0),0)*TotalBisonsMales_6_12_mois*NbreJoursNourrirBisonsDaims)</f>
        <v>0</v>
      </c>
      <c r="BS56" s="332">
        <f t="array" ref="BS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3-6],MATCH(ChoixRationBisons&amp;$BM56,Règles_bison[Ration]&amp;Règles_bison[Aliment],0)),0),0)*TotalBisonsMales_3_6_mois*NbreJoursNourrirBisonsDaims)</f>
        <v>0</v>
      </c>
      <c r="BT56" s="332">
        <f t="array" ref="BT56">IF(Ration_hivernale_complète_bisons[somme]&gt;0,0,IFERROR(IF(OR(AND(INDEX(Règles_bison[Specificite],MATCH(ChoixRationBisons&amp;$BM56,Règles_bison[Ration]&amp;Règles_bison[Aliment],0))="s1",IF($BM56=ChoixSpécificité1Bisons,1)),
INDEX(Règles_bison[Specificite],MATCH(ChoixRationBisons&amp;$BM56,Règles_bison[Ration]&amp;Règles_bison[Aliment],0))="c"),
INDEX(Règles_bison[Valeur 0-3],MATCH(ChoixRationBisons&amp;$BM56,Règles_bison[Ration]&amp;Règles_bison[Aliment],0)),0),0)*TotalBisonsMales_0_3_mois*NbreJoursNourrirBisonsDaims)</f>
        <v>0</v>
      </c>
      <c r="BU56" s="332">
        <f t="shared" si="0"/>
        <v>0</v>
      </c>
      <c r="BX56" s="355" t="s">
        <v>473</v>
      </c>
      <c r="BY56" s="280" t="s">
        <v>444</v>
      </c>
      <c r="BZ56" s="280" t="s">
        <v>711</v>
      </c>
      <c r="CA56" s="280">
        <v>20</v>
      </c>
      <c r="CB56" s="280">
        <v>12</v>
      </c>
      <c r="CC56" s="280">
        <v>8</v>
      </c>
      <c r="CD56" s="392">
        <v>4</v>
      </c>
      <c r="CE56" s="297"/>
      <c r="CF56" s="297"/>
      <c r="CG56" s="297"/>
      <c r="CH56" s="297"/>
    </row>
    <row r="57" spans="1:86" ht="12.75" customHeight="1" x14ac:dyDescent="0.2">
      <c r="A57" s="355">
        <v>3</v>
      </c>
      <c r="B57" s="356">
        <v>0.1</v>
      </c>
      <c r="C57" s="357">
        <v>0.3</v>
      </c>
      <c r="N57" s="277"/>
      <c r="O57" s="280" t="s">
        <v>100</v>
      </c>
      <c r="P57" s="280">
        <v>8.6</v>
      </c>
      <c r="Q57" s="280">
        <v>7.9</v>
      </c>
      <c r="R57" s="280">
        <v>8.4</v>
      </c>
      <c r="S57" s="280">
        <v>6.3</v>
      </c>
      <c r="T57" s="280">
        <v>6.2</v>
      </c>
      <c r="U57" s="280">
        <v>7.3</v>
      </c>
      <c r="V57" s="280"/>
      <c r="W57" s="280">
        <v>9.4</v>
      </c>
      <c r="X57" s="280">
        <v>15.1</v>
      </c>
      <c r="Y57" s="280">
        <v>90</v>
      </c>
      <c r="Z57" s="280">
        <v>3.9</v>
      </c>
      <c r="AA57" s="280">
        <v>0</v>
      </c>
      <c r="AB57" s="280">
        <v>5.3</v>
      </c>
      <c r="AC57" s="280">
        <v>4.5999999999999996</v>
      </c>
      <c r="AD57" s="280">
        <v>0</v>
      </c>
      <c r="AE57" s="280">
        <v>3.7</v>
      </c>
      <c r="AF57" s="280">
        <v>44.9</v>
      </c>
      <c r="AG57" s="280">
        <v>0</v>
      </c>
      <c r="AH57" s="280">
        <v>0</v>
      </c>
      <c r="AI57" s="280">
        <v>23</v>
      </c>
      <c r="AJ57" s="280">
        <v>15</v>
      </c>
      <c r="AK57" s="280">
        <v>0</v>
      </c>
      <c r="AL57" s="280">
        <v>0</v>
      </c>
      <c r="AM57" s="280"/>
      <c r="AN57" s="280">
        <v>2.2999999999999998</v>
      </c>
      <c r="AO57" s="280">
        <v>33</v>
      </c>
      <c r="AP57" s="280">
        <v>0</v>
      </c>
      <c r="AQ57" s="280">
        <v>0</v>
      </c>
      <c r="AR57" s="280">
        <v>0</v>
      </c>
      <c r="AS57" s="280">
        <v>0</v>
      </c>
      <c r="AT57" s="280">
        <v>0</v>
      </c>
      <c r="AU57" s="280">
        <v>0</v>
      </c>
      <c r="AV57" s="280">
        <v>0</v>
      </c>
      <c r="AW57" s="280">
        <v>8.5</v>
      </c>
      <c r="AX57" s="280">
        <v>10</v>
      </c>
      <c r="AY57" s="280">
        <v>10</v>
      </c>
      <c r="BB57" s="283" t="s">
        <v>740</v>
      </c>
      <c r="BC57" s="289"/>
      <c r="BD57" s="286"/>
      <c r="BE57" s="283"/>
      <c r="BF57" s="283"/>
      <c r="BG57" s="283"/>
      <c r="BH57" s="283"/>
      <c r="BI57" s="283"/>
      <c r="BJ57" s="283"/>
      <c r="BK57" s="287"/>
      <c r="BL57" s="305"/>
      <c r="BM57" s="332" t="s">
        <v>436</v>
      </c>
      <c r="BN57" s="332">
        <f t="array" ref="BN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36 et plus],MATCH(ChoixRationBisons&amp;$BM57,Règles_bison[Ration]&amp;Règles_bison[Aliment],0)),0),0)*TotalBisonsMalesAdultes*NbreJoursNourrirBisonsDaims)</f>
        <v>0</v>
      </c>
      <c r="BO57" s="332">
        <f t="array" ref="BO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24-36],MATCH(ChoixRationBisons&amp;$BM57,Règles_bison[Ration]&amp;Règles_bison[Aliment],0)),0),0)*TotalBisonsMales_24_36_mois*NbreJoursNourrirBisonsDaims)</f>
        <v>0</v>
      </c>
      <c r="BP57" s="332">
        <f t="array" ref="BP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18-24],MATCH(ChoixRationBisons&amp;$BM57,Règles_bison[Ration]&amp;Règles_bison[Aliment],0)),0),0)*TotalBisonsMales_18_24_mois*NbreJoursNourrirBisonsDaims)</f>
        <v>0</v>
      </c>
      <c r="BQ57" s="332">
        <f t="array" ref="BQ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12-18],MATCH(ChoixRationBisons&amp;$BM57,Règles_bison[Ration]&amp;Règles_bison[Aliment],0)),0),0)*TotalBisonsMales_12_18_mois*NbreJoursNourrirBisonsDaims)</f>
        <v>0</v>
      </c>
      <c r="BR57" s="332">
        <f t="array" ref="BR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6-12],MATCH(ChoixRationBisons&amp;$BM57,Règles_bison[Ration]&amp;Règles_bison[Aliment],0)),0),0)*TotalBisonsMales_6_12_mois*NbreJoursNourrirBisonsDaims)</f>
        <v>0</v>
      </c>
      <c r="BS57" s="332">
        <f t="array" ref="BS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3-6],MATCH(ChoixRationBisons&amp;$BM57,Règles_bison[Ration]&amp;Règles_bison[Aliment],0)),0),0)*TotalBisonsMales_3_6_mois*NbreJoursNourrirBisonsDaims)</f>
        <v>0</v>
      </c>
      <c r="BT57" s="332">
        <f t="array" ref="BT57">IF(Ration_hivernale_complète_bisons[somme]&gt;0,0,IFERROR(IF(OR(AND(INDEX(Règles_bison[Specificite],MATCH(ChoixRationBisons&amp;$BM57,Règles_bison[Ration]&amp;Règles_bison[Aliment],0))="s1",IF($BM57=ChoixSpécificité1Bisons,1)),
INDEX(Règles_bison[Specificite],MATCH(ChoixRationBisons&amp;$BM57,Règles_bison[Ration]&amp;Règles_bison[Aliment],0))="c"),
INDEX(Règles_bison[Valeur 0-3],MATCH(ChoixRationBisons&amp;$BM57,Règles_bison[Ration]&amp;Règles_bison[Aliment],0)),0),0)*TotalBisonsMales_0_3_mois*NbreJoursNourrirBisonsDaims)</f>
        <v>0</v>
      </c>
      <c r="BU57" s="332">
        <f t="shared" si="0"/>
        <v>0</v>
      </c>
      <c r="BX57" s="355" t="s">
        <v>474</v>
      </c>
      <c r="BY57" s="280" t="s">
        <v>434</v>
      </c>
      <c r="BZ57" s="280" t="s">
        <v>735</v>
      </c>
      <c r="CA57" s="280">
        <v>19</v>
      </c>
      <c r="CB57" s="280">
        <v>14</v>
      </c>
      <c r="CC57" s="280">
        <v>10</v>
      </c>
      <c r="CD57" s="392">
        <v>3</v>
      </c>
      <c r="CE57" s="297"/>
      <c r="CF57" s="297"/>
      <c r="CG57" s="297"/>
      <c r="CH57" s="297"/>
    </row>
    <row r="58" spans="1:86" ht="12.75" customHeight="1" x14ac:dyDescent="0.2">
      <c r="A58" s="355">
        <v>4</v>
      </c>
      <c r="B58" s="356">
        <v>0.15</v>
      </c>
      <c r="C58" s="357">
        <v>0.45</v>
      </c>
      <c r="F58" s="283" t="s">
        <v>502</v>
      </c>
      <c r="N58" s="277"/>
      <c r="O58" s="280" t="s">
        <v>101</v>
      </c>
      <c r="P58" s="280">
        <v>7</v>
      </c>
      <c r="Q58" s="280">
        <v>6.4</v>
      </c>
      <c r="R58" s="280">
        <v>5.3</v>
      </c>
      <c r="S58" s="280">
        <v>5.4</v>
      </c>
      <c r="T58" s="280">
        <v>5.3</v>
      </c>
      <c r="U58" s="280">
        <v>5.8</v>
      </c>
      <c r="V58" s="280"/>
      <c r="W58" s="280">
        <v>8.5</v>
      </c>
      <c r="X58" s="280">
        <v>12.4</v>
      </c>
      <c r="Y58" s="280">
        <v>0</v>
      </c>
      <c r="Z58" s="280">
        <v>3.7</v>
      </c>
      <c r="AA58" s="280">
        <v>2.6</v>
      </c>
      <c r="AB58" s="280">
        <v>3.8</v>
      </c>
      <c r="AC58" s="280">
        <v>3.5</v>
      </c>
      <c r="AD58" s="280">
        <v>2.2000000000000002</v>
      </c>
      <c r="AE58" s="280">
        <v>0</v>
      </c>
      <c r="AF58" s="280">
        <v>30.2</v>
      </c>
      <c r="AG58" s="280">
        <v>0.8</v>
      </c>
      <c r="AH58" s="280">
        <v>7</v>
      </c>
      <c r="AI58" s="280">
        <v>12</v>
      </c>
      <c r="AJ58" s="280">
        <v>13</v>
      </c>
      <c r="AK58" s="280">
        <v>1.9</v>
      </c>
      <c r="AL58" s="280">
        <v>10.5</v>
      </c>
      <c r="AM58" s="280"/>
      <c r="AN58" s="280">
        <v>2.7</v>
      </c>
      <c r="AO58" s="280">
        <v>45</v>
      </c>
      <c r="AP58" s="280">
        <v>27</v>
      </c>
      <c r="AQ58" s="280">
        <v>0</v>
      </c>
      <c r="AR58" s="280">
        <v>10</v>
      </c>
      <c r="AS58" s="280">
        <v>0</v>
      </c>
      <c r="AT58" s="280">
        <v>0</v>
      </c>
      <c r="AU58" s="280">
        <v>0</v>
      </c>
      <c r="AV58" s="280">
        <v>0</v>
      </c>
      <c r="AW58" s="280">
        <v>8.5</v>
      </c>
      <c r="AX58" s="280">
        <v>10</v>
      </c>
      <c r="AY58" s="280">
        <v>10</v>
      </c>
      <c r="BB58" s="340" t="s">
        <v>694</v>
      </c>
      <c r="BC58" s="310" t="s">
        <v>709</v>
      </c>
      <c r="BD58" s="341" t="s">
        <v>710</v>
      </c>
      <c r="BE58" s="310" t="s">
        <v>720</v>
      </c>
      <c r="BF58" s="310" t="s">
        <v>719</v>
      </c>
      <c r="BG58" s="310" t="s">
        <v>718</v>
      </c>
      <c r="BH58" s="310" t="s">
        <v>717</v>
      </c>
      <c r="BI58" s="310" t="s">
        <v>716</v>
      </c>
      <c r="BJ58" s="310" t="s">
        <v>715</v>
      </c>
      <c r="BK58" s="342" t="s">
        <v>714</v>
      </c>
      <c r="BL58" s="305"/>
      <c r="BM58" s="332" t="s">
        <v>169</v>
      </c>
      <c r="BN58" s="332">
        <f t="array" ref="BN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36 et plus],MATCH(ChoixRationBisons&amp;$BM58,Règles_bison[Ration]&amp;Règles_bison[Aliment],0)),0),0)*TotalBisonsMalesAdultes*NbreJoursNourrirBisonsDaims)</f>
        <v>0</v>
      </c>
      <c r="BO58" s="332">
        <f t="array" ref="BO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24-36],MATCH(ChoixRationBisons&amp;$BM58,Règles_bison[Ration]&amp;Règles_bison[Aliment],0)),0),0)*TotalBisonsMales_24_36_mois*NbreJoursNourrirBisonsDaims)</f>
        <v>0</v>
      </c>
      <c r="BP58" s="332">
        <f t="array" ref="BP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18-24],MATCH(ChoixRationBisons&amp;$BM58,Règles_bison[Ration]&amp;Règles_bison[Aliment],0)),0),0)*TotalBisonsMales_18_24_mois*NbreJoursNourrirBisonsDaims)</f>
        <v>0</v>
      </c>
      <c r="BQ58" s="332">
        <f t="array" ref="BQ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12-18],MATCH(ChoixRationBisons&amp;$BM58,Règles_bison[Ration]&amp;Règles_bison[Aliment],0)),0),0)*TotalBisonsMales_12_18_mois*NbreJoursNourrirBisonsDaims)</f>
        <v>0</v>
      </c>
      <c r="BR58" s="332">
        <f t="array" ref="BR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6-12],MATCH(ChoixRationBisons&amp;$BM58,Règles_bison[Ration]&amp;Règles_bison[Aliment],0)),0),0)*TotalBisonsMales_6_12_mois*NbreJoursNourrirBisonsDaims)</f>
        <v>0</v>
      </c>
      <c r="BS58" s="332">
        <f t="array" ref="BS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3-6],MATCH(ChoixRationBisons&amp;$BM58,Règles_bison[Ration]&amp;Règles_bison[Aliment],0)),0),0)*TotalBisonsMales_3_6_mois*NbreJoursNourrirBisonsDaims)</f>
        <v>0</v>
      </c>
      <c r="BT58" s="332">
        <f t="array" ref="BT58">IF(Ration_hivernale_complète_bisons[somme]&gt;0,0,IFERROR(IF(OR(AND(INDEX(Règles_bison[Specificite],MATCH(ChoixRationBisons&amp;$BM58,Règles_bison[Ration]&amp;Règles_bison[Aliment],0))="s1",IF($BM58=ChoixSpécificité1Bisons,1)),
INDEX(Règles_bison[Specificite],MATCH(ChoixRationBisons&amp;$BM58,Règles_bison[Ration]&amp;Règles_bison[Aliment],0))="c"),
INDEX(Règles_bison[Valeur 0-3],MATCH(ChoixRationBisons&amp;$BM58,Règles_bison[Ration]&amp;Règles_bison[Aliment],0)),0),0)*TotalBisonsMales_0_3_mois*NbreJoursNourrirBisonsDaims)</f>
        <v>0</v>
      </c>
      <c r="BU58" s="332">
        <f t="shared" si="0"/>
        <v>0</v>
      </c>
      <c r="BX58" s="355" t="s">
        <v>474</v>
      </c>
      <c r="BY58" s="280" t="s">
        <v>297</v>
      </c>
      <c r="BZ58" s="280" t="s">
        <v>711</v>
      </c>
      <c r="CA58" s="280">
        <v>14</v>
      </c>
      <c r="CB58" s="280">
        <v>10</v>
      </c>
      <c r="CC58" s="280">
        <v>6</v>
      </c>
      <c r="CD58" s="392">
        <v>0</v>
      </c>
      <c r="CE58" s="297"/>
      <c r="CF58" s="297"/>
      <c r="CG58" s="297"/>
      <c r="CH58" s="297"/>
    </row>
    <row r="59" spans="1:86" ht="12.75" customHeight="1" x14ac:dyDescent="0.2">
      <c r="A59" s="358">
        <v>5</v>
      </c>
      <c r="B59" s="359">
        <v>0.2</v>
      </c>
      <c r="C59" s="360">
        <v>0.6</v>
      </c>
      <c r="F59" s="298" t="s">
        <v>503</v>
      </c>
      <c r="G59" s="298" t="s">
        <v>504</v>
      </c>
      <c r="H59" s="298" t="s">
        <v>506</v>
      </c>
      <c r="I59" s="298" t="s">
        <v>507</v>
      </c>
      <c r="J59" s="298" t="s">
        <v>508</v>
      </c>
      <c r="K59" s="298" t="s">
        <v>509</v>
      </c>
      <c r="L59" s="298" t="s">
        <v>510</v>
      </c>
      <c r="M59" s="298" t="s">
        <v>511</v>
      </c>
      <c r="N59" s="277"/>
      <c r="O59" s="280" t="s">
        <v>102</v>
      </c>
      <c r="P59" s="280">
        <v>8.3000000000000007</v>
      </c>
      <c r="Q59" s="280">
        <v>7.5</v>
      </c>
      <c r="R59" s="280">
        <v>7.2</v>
      </c>
      <c r="S59" s="280">
        <v>6.5</v>
      </c>
      <c r="T59" s="280">
        <v>6.2</v>
      </c>
      <c r="U59" s="280">
        <v>6.9</v>
      </c>
      <c r="V59" s="280"/>
      <c r="W59" s="280">
        <v>8.8000000000000007</v>
      </c>
      <c r="X59" s="280">
        <v>14.5</v>
      </c>
      <c r="Y59" s="280">
        <v>90</v>
      </c>
      <c r="Z59" s="280">
        <v>3.8</v>
      </c>
      <c r="AA59" s="280">
        <v>2.5</v>
      </c>
      <c r="AB59" s="280">
        <v>5.2</v>
      </c>
      <c r="AC59" s="280">
        <v>4.3</v>
      </c>
      <c r="AD59" s="280">
        <v>0</v>
      </c>
      <c r="AE59" s="280">
        <v>3.4</v>
      </c>
      <c r="AF59" s="280">
        <v>44.5</v>
      </c>
      <c r="AG59" s="280">
        <v>0</v>
      </c>
      <c r="AH59" s="280">
        <v>0</v>
      </c>
      <c r="AI59" s="280">
        <v>22</v>
      </c>
      <c r="AJ59" s="280">
        <v>15</v>
      </c>
      <c r="AK59" s="280">
        <v>0</v>
      </c>
      <c r="AL59" s="280">
        <v>0</v>
      </c>
      <c r="AM59" s="280"/>
      <c r="AN59" s="280">
        <v>2.2999999999999998</v>
      </c>
      <c r="AO59" s="280">
        <v>37</v>
      </c>
      <c r="AP59" s="280">
        <v>0</v>
      </c>
      <c r="AQ59" s="280">
        <v>0</v>
      </c>
      <c r="AR59" s="280">
        <v>0</v>
      </c>
      <c r="AS59" s="280">
        <v>0</v>
      </c>
      <c r="AT59" s="280">
        <v>0</v>
      </c>
      <c r="AU59" s="280">
        <v>0</v>
      </c>
      <c r="AV59" s="280">
        <v>0</v>
      </c>
      <c r="AW59" s="280">
        <v>8.5</v>
      </c>
      <c r="AX59" s="280">
        <v>10</v>
      </c>
      <c r="AY59" s="280">
        <v>10</v>
      </c>
      <c r="BB59" s="369" t="s">
        <v>435</v>
      </c>
      <c r="BC59" s="344" t="s">
        <v>434</v>
      </c>
      <c r="BD59" s="344" t="s">
        <v>735</v>
      </c>
      <c r="BE59" s="370">
        <v>169</v>
      </c>
      <c r="BF59" s="370">
        <v>144</v>
      </c>
      <c r="BG59" s="370">
        <v>112</v>
      </c>
      <c r="BH59" s="370">
        <v>85</v>
      </c>
      <c r="BI59" s="370">
        <v>57</v>
      </c>
      <c r="BJ59" s="370">
        <v>29</v>
      </c>
      <c r="BK59" s="371">
        <v>0</v>
      </c>
      <c r="BL59" s="305"/>
      <c r="BM59" s="332" t="s">
        <v>44</v>
      </c>
      <c r="BN59" s="332">
        <f t="array" ref="BN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36 et plus],MATCH(ChoixRationBisons&amp;$BM59,Règles_bison[Ration]&amp;Règles_bison[Aliment],0)),0),0)*TotalBisonsMalesAdultes*NbreJoursNourrirBisonsDaims)</f>
        <v>0</v>
      </c>
      <c r="BO59" s="332">
        <f t="array" ref="BO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24-36],MATCH(ChoixRationBisons&amp;$BM59,Règles_bison[Ration]&amp;Règles_bison[Aliment],0)),0),0)*TotalBisonsMales_24_36_mois*NbreJoursNourrirBisonsDaims)</f>
        <v>0</v>
      </c>
      <c r="BP59" s="332">
        <f t="array" ref="BP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18-24],MATCH(ChoixRationBisons&amp;$BM59,Règles_bison[Ration]&amp;Règles_bison[Aliment],0)),0),0)*TotalBisonsMales_18_24_mois*NbreJoursNourrirBisonsDaims)</f>
        <v>0</v>
      </c>
      <c r="BQ59" s="332">
        <f t="array" ref="BQ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12-18],MATCH(ChoixRationBisons&amp;$BM59,Règles_bison[Ration]&amp;Règles_bison[Aliment],0)),0),0)*TotalBisonsMales_12_18_mois*NbreJoursNourrirBisonsDaims)</f>
        <v>0</v>
      </c>
      <c r="BR59" s="332">
        <f t="array" ref="BR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6-12],MATCH(ChoixRationBisons&amp;$BM59,Règles_bison[Ration]&amp;Règles_bison[Aliment],0)),0),0)*TotalBisonsMales_6_12_mois*NbreJoursNourrirBisonsDaims)</f>
        <v>0</v>
      </c>
      <c r="BS59" s="332">
        <f t="array" ref="BS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3-6],MATCH(ChoixRationBisons&amp;$BM59,Règles_bison[Ration]&amp;Règles_bison[Aliment],0)),0),0)*TotalBisonsMales_3_6_mois*NbreJoursNourrirBisonsDaims)</f>
        <v>0</v>
      </c>
      <c r="BT59" s="332">
        <f t="array" ref="BT59">IF(Ration_hivernale_complète_bisons[somme]&gt;0,0,IFERROR(IF(OR(AND(INDEX(Règles_bison[Specificite],MATCH(ChoixRationBisons&amp;$BM59,Règles_bison[Ration]&amp;Règles_bison[Aliment],0))="s1",IF($BM59=ChoixSpécificité1Bisons,1)),
INDEX(Règles_bison[Specificite],MATCH(ChoixRationBisons&amp;$BM59,Règles_bison[Ration]&amp;Règles_bison[Aliment],0))="c"),
INDEX(Règles_bison[Valeur 0-3],MATCH(ChoixRationBisons&amp;$BM59,Règles_bison[Ration]&amp;Règles_bison[Aliment],0)),0),0)*TotalBisonsMales_0_3_mois*NbreJoursNourrirBisonsDaims)</f>
        <v>0</v>
      </c>
      <c r="BU59" s="332">
        <f t="shared" si="0"/>
        <v>0</v>
      </c>
      <c r="BX59" s="355" t="s">
        <v>474</v>
      </c>
      <c r="BY59" s="280" t="s">
        <v>124</v>
      </c>
      <c r="BZ59" s="280" t="s">
        <v>711</v>
      </c>
      <c r="CA59" s="280">
        <v>2</v>
      </c>
      <c r="CB59" s="280">
        <v>2</v>
      </c>
      <c r="CC59" s="280">
        <v>1.2</v>
      </c>
      <c r="CD59" s="392">
        <v>2.8</v>
      </c>
      <c r="CE59" s="297"/>
      <c r="CF59" s="297"/>
      <c r="CG59" s="297"/>
      <c r="CH59" s="297"/>
    </row>
    <row r="60" spans="1:86" ht="12.75" customHeight="1" x14ac:dyDescent="0.2">
      <c r="B60" s="309"/>
      <c r="F60" s="310"/>
      <c r="G60" s="310" t="s">
        <v>505</v>
      </c>
      <c r="H60" s="310"/>
      <c r="I60" s="310"/>
      <c r="J60" s="310"/>
      <c r="K60" s="310"/>
      <c r="L60" s="310"/>
      <c r="M60" s="310"/>
      <c r="N60" s="277"/>
      <c r="O60" s="280" t="s">
        <v>103</v>
      </c>
      <c r="P60" s="280">
        <v>6.6</v>
      </c>
      <c r="Q60" s="280">
        <v>6.2</v>
      </c>
      <c r="R60" s="280">
        <v>5.7</v>
      </c>
      <c r="S60" s="280">
        <v>4.4000000000000004</v>
      </c>
      <c r="T60" s="280">
        <v>4.2</v>
      </c>
      <c r="U60" s="280">
        <v>5.3</v>
      </c>
      <c r="V60" s="280"/>
      <c r="W60" s="280">
        <v>8.6</v>
      </c>
      <c r="X60" s="280">
        <v>11</v>
      </c>
      <c r="Y60" s="280">
        <v>75</v>
      </c>
      <c r="Z60" s="280">
        <v>3.3</v>
      </c>
      <c r="AA60" s="280">
        <v>2.2999999999999998</v>
      </c>
      <c r="AB60" s="280">
        <v>4.3</v>
      </c>
      <c r="AC60" s="280">
        <v>2.9</v>
      </c>
      <c r="AD60" s="280">
        <v>2.2999999999999998</v>
      </c>
      <c r="AE60" s="280">
        <v>0</v>
      </c>
      <c r="AF60" s="280">
        <v>26</v>
      </c>
      <c r="AG60" s="280">
        <v>0</v>
      </c>
      <c r="AH60" s="280">
        <v>0</v>
      </c>
      <c r="AI60" s="280">
        <v>0</v>
      </c>
      <c r="AJ60" s="280">
        <v>13</v>
      </c>
      <c r="AK60" s="280">
        <v>1.6</v>
      </c>
      <c r="AL60" s="280">
        <v>9.3000000000000007</v>
      </c>
      <c r="AM60" s="280"/>
      <c r="AN60" s="280">
        <v>3</v>
      </c>
      <c r="AO60" s="280">
        <v>39</v>
      </c>
      <c r="AP60" s="280">
        <v>0</v>
      </c>
      <c r="AQ60" s="280">
        <v>0</v>
      </c>
      <c r="AR60" s="280">
        <v>0</v>
      </c>
      <c r="AS60" s="280">
        <v>0</v>
      </c>
      <c r="AT60" s="280">
        <v>0</v>
      </c>
      <c r="AU60" s="280">
        <v>0</v>
      </c>
      <c r="AV60" s="280">
        <v>0</v>
      </c>
      <c r="AW60" s="280">
        <v>8.5</v>
      </c>
      <c r="AX60" s="280">
        <v>10</v>
      </c>
      <c r="AY60" s="280">
        <v>10</v>
      </c>
      <c r="BB60" s="369" t="s">
        <v>435</v>
      </c>
      <c r="BC60" s="344" t="s">
        <v>124</v>
      </c>
      <c r="BD60" s="344" t="s">
        <v>711</v>
      </c>
      <c r="BE60" s="370">
        <v>72</v>
      </c>
      <c r="BF60" s="370">
        <v>60</v>
      </c>
      <c r="BG60" s="370">
        <v>48</v>
      </c>
      <c r="BH60" s="370">
        <v>36</v>
      </c>
      <c r="BI60" s="370">
        <v>24</v>
      </c>
      <c r="BJ60" s="370">
        <v>12</v>
      </c>
      <c r="BK60" s="371">
        <v>0</v>
      </c>
      <c r="BL60" s="305"/>
      <c r="BM60" s="332" t="s">
        <v>731</v>
      </c>
      <c r="BN60" s="332">
        <f t="array" ref="BN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36 et plus],MATCH(ChoixRationBisons&amp;$BM60,Règles_bison[Ration]&amp;Règles_bison[Aliment],0)),0),0)*TotalBisonsMalesAdultes*NbreJoursNourrirBisonsDaims)</f>
        <v>0</v>
      </c>
      <c r="BO60" s="332">
        <f t="array" ref="BO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24-36],MATCH(ChoixRationBisons&amp;$BM60,Règles_bison[Ration]&amp;Règles_bison[Aliment],0)),0),0)*TotalBisonsMales_24_36_mois*NbreJoursNourrirBisonsDaims)</f>
        <v>0</v>
      </c>
      <c r="BP60" s="332">
        <f t="array" ref="BP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18-24],MATCH(ChoixRationBisons&amp;$BM60,Règles_bison[Ration]&amp;Règles_bison[Aliment],0)),0),0)*TotalBisonsMales_18_24_mois*NbreJoursNourrirBisonsDaims)</f>
        <v>0</v>
      </c>
      <c r="BQ60" s="332">
        <f t="array" ref="BQ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12-18],MATCH(ChoixRationBisons&amp;$BM60,Règles_bison[Ration]&amp;Règles_bison[Aliment],0)),0),0)*TotalBisonsMales_12_18_mois*NbreJoursNourrirBisonsDaims)</f>
        <v>0</v>
      </c>
      <c r="BR60" s="332">
        <f t="array" ref="BR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6-12],MATCH(ChoixRationBisons&amp;$BM60,Règles_bison[Ration]&amp;Règles_bison[Aliment],0)),0),0)*TotalBisonsMales_6_12_mois*NbreJoursNourrirBisonsDaims)</f>
        <v>0</v>
      </c>
      <c r="BS60" s="332">
        <f t="array" ref="BS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3-6],MATCH(ChoixRationBisons&amp;$BM60,Règles_bison[Ration]&amp;Règles_bison[Aliment],0)),0),0)*TotalBisonsMales_3_6_mois*NbreJoursNourrirBisonsDaims)</f>
        <v>0</v>
      </c>
      <c r="BT60" s="332">
        <f t="array" ref="BT60">IF(Ration_hivernale_complète_bisons[somme]&gt;0,0,IFERROR(IF(OR(AND(INDEX(Règles_bison[Specificite],MATCH(ChoixRationBisons&amp;$BM60,Règles_bison[Ration]&amp;Règles_bison[Aliment],0))="s1",IF($BM60=ChoixSpécificité1Bisons,1)),
INDEX(Règles_bison[Specificite],MATCH(ChoixRationBisons&amp;$BM60,Règles_bison[Ration]&amp;Règles_bison[Aliment],0))="c"),
INDEX(Règles_bison[Valeur 0-3],MATCH(ChoixRationBisons&amp;$BM60,Règles_bison[Ration]&amp;Règles_bison[Aliment],0)),0),0)*TotalBisonsMales_0_3_mois*NbreJoursNourrirBisonsDaims)</f>
        <v>0</v>
      </c>
      <c r="BU60" s="332">
        <f t="shared" si="0"/>
        <v>0</v>
      </c>
      <c r="BX60" s="355" t="s">
        <v>474</v>
      </c>
      <c r="BY60" s="280" t="s">
        <v>383</v>
      </c>
      <c r="BZ60" s="280" t="s">
        <v>711</v>
      </c>
      <c r="CA60" s="280">
        <v>1.6</v>
      </c>
      <c r="CB60" s="280">
        <v>1.4</v>
      </c>
      <c r="CC60" s="280">
        <v>1.2</v>
      </c>
      <c r="CD60" s="392">
        <v>1</v>
      </c>
      <c r="CE60" s="297"/>
      <c r="CF60" s="297"/>
      <c r="CG60" s="297"/>
      <c r="CH60" s="297"/>
    </row>
    <row r="61" spans="1:86" ht="12.75" customHeight="1" x14ac:dyDescent="0.2">
      <c r="A61" s="340" t="s">
        <v>749</v>
      </c>
      <c r="B61" s="361" t="s">
        <v>750</v>
      </c>
      <c r="F61" s="280" t="s">
        <v>160</v>
      </c>
      <c r="G61" s="280">
        <v>8</v>
      </c>
      <c r="H61" s="280" t="s">
        <v>512</v>
      </c>
      <c r="I61" s="280" t="s">
        <v>679</v>
      </c>
      <c r="J61" s="280" t="s">
        <v>513</v>
      </c>
      <c r="K61" s="280">
        <v>0</v>
      </c>
      <c r="L61" s="280" t="s">
        <v>680</v>
      </c>
      <c r="M61" s="280">
        <v>0</v>
      </c>
      <c r="N61" s="277"/>
      <c r="O61" s="280" t="s">
        <v>612</v>
      </c>
      <c r="P61" s="280">
        <v>4</v>
      </c>
      <c r="Q61" s="280">
        <v>3.9</v>
      </c>
      <c r="R61" s="280">
        <v>1.8</v>
      </c>
      <c r="S61" s="280">
        <v>2.4</v>
      </c>
      <c r="T61" s="280">
        <v>2.4</v>
      </c>
      <c r="U61" s="280">
        <v>4</v>
      </c>
      <c r="V61" s="280"/>
      <c r="W61" s="280">
        <v>10.8</v>
      </c>
      <c r="X61" s="280">
        <v>9.5</v>
      </c>
      <c r="Y61" s="280">
        <v>0</v>
      </c>
      <c r="Z61" s="280">
        <v>2.1</v>
      </c>
      <c r="AA61" s="280">
        <v>1.9</v>
      </c>
      <c r="AB61" s="280">
        <v>2.1</v>
      </c>
      <c r="AC61" s="280">
        <v>2.6</v>
      </c>
      <c r="AD61" s="280">
        <v>2.6</v>
      </c>
      <c r="AE61" s="280">
        <v>0</v>
      </c>
      <c r="AF61" s="280">
        <v>30</v>
      </c>
      <c r="AG61" s="280">
        <v>0</v>
      </c>
      <c r="AH61" s="280">
        <v>0</v>
      </c>
      <c r="AI61" s="280">
        <v>21</v>
      </c>
      <c r="AJ61" s="280">
        <v>12</v>
      </c>
      <c r="AK61" s="280">
        <v>0</v>
      </c>
      <c r="AL61" s="280">
        <v>11</v>
      </c>
      <c r="AM61" s="280"/>
      <c r="AN61" s="280">
        <v>0</v>
      </c>
      <c r="AO61" s="280">
        <v>43</v>
      </c>
      <c r="AP61" s="280">
        <v>29</v>
      </c>
      <c r="AQ61" s="280">
        <v>27</v>
      </c>
      <c r="AR61" s="280">
        <v>10</v>
      </c>
      <c r="AS61" s="280">
        <v>16</v>
      </c>
      <c r="AT61" s="280">
        <v>0</v>
      </c>
      <c r="AU61" s="280">
        <v>3</v>
      </c>
      <c r="AV61" s="280">
        <v>4</v>
      </c>
      <c r="AW61" s="280">
        <v>8.5</v>
      </c>
      <c r="AX61" s="280">
        <v>10</v>
      </c>
      <c r="AY61" s="280">
        <v>10</v>
      </c>
      <c r="BB61" s="369" t="s">
        <v>435</v>
      </c>
      <c r="BC61" s="344" t="s">
        <v>190</v>
      </c>
      <c r="BD61" s="344" t="s">
        <v>711</v>
      </c>
      <c r="BE61" s="370">
        <v>84</v>
      </c>
      <c r="BF61" s="370">
        <v>72</v>
      </c>
      <c r="BG61" s="370">
        <v>48</v>
      </c>
      <c r="BH61" s="370">
        <v>36</v>
      </c>
      <c r="BI61" s="370">
        <v>24</v>
      </c>
      <c r="BJ61" s="370">
        <v>12</v>
      </c>
      <c r="BK61" s="371">
        <v>0</v>
      </c>
      <c r="BL61" s="305"/>
      <c r="BM61" s="332" t="s">
        <v>434</v>
      </c>
      <c r="BN61" s="332">
        <f t="array" ref="BN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36 et plus],MATCH(ChoixRationBisons&amp;$BM61,Règles_bison[Ration]&amp;Règles_bison[Aliment],0)),0),0)*TotalBisonsMalesAdultes*NbreJoursNourrirBisonsDaims)</f>
        <v>0</v>
      </c>
      <c r="BO61" s="332">
        <f t="array" ref="BO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24-36],MATCH(ChoixRationBisons&amp;$BM61,Règles_bison[Ration]&amp;Règles_bison[Aliment],0)),0),0)*TotalBisonsMales_24_36_mois*NbreJoursNourrirBisonsDaims)</f>
        <v>0</v>
      </c>
      <c r="BP61" s="332">
        <f t="array" ref="BP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18-24],MATCH(ChoixRationBisons&amp;$BM61,Règles_bison[Ration]&amp;Règles_bison[Aliment],0)),0),0)*TotalBisonsMales_18_24_mois*NbreJoursNourrirBisonsDaims)</f>
        <v>0</v>
      </c>
      <c r="BQ61" s="332">
        <f t="array" ref="BQ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12-18],MATCH(ChoixRationBisons&amp;$BM61,Règles_bison[Ration]&amp;Règles_bison[Aliment],0)),0),0)*TotalBisonsMales_12_18_mois*NbreJoursNourrirBisonsDaims)</f>
        <v>0</v>
      </c>
      <c r="BR61" s="332">
        <f t="array" ref="BR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6-12],MATCH(ChoixRationBisons&amp;$BM61,Règles_bison[Ration]&amp;Règles_bison[Aliment],0)),0),0)*TotalBisonsMales_6_12_mois*NbreJoursNourrirBisonsDaims)</f>
        <v>0</v>
      </c>
      <c r="BS61" s="332">
        <f t="array" ref="BS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3-6],MATCH(ChoixRationBisons&amp;$BM61,Règles_bison[Ration]&amp;Règles_bison[Aliment],0)),0),0)*TotalBisonsMales_3_6_mois*NbreJoursNourrirBisonsDaims)</f>
        <v>0</v>
      </c>
      <c r="BT61" s="332">
        <f t="array" ref="BT61">IF(Ration_hivernale_complète_bisons[somme]&gt;0,0,IFERROR(IF(OR(AND(INDEX(Règles_bison[Specificite],MATCH(ChoixRationBisons&amp;$BM61,Règles_bison[Ration]&amp;Règles_bison[Aliment],0))="s1",IF($BM61=ChoixSpécificité1Bisons,1)),
INDEX(Règles_bison[Specificite],MATCH(ChoixRationBisons&amp;$BM61,Règles_bison[Ration]&amp;Règles_bison[Aliment],0))="c"),
INDEX(Règles_bison[Valeur 0-3],MATCH(ChoixRationBisons&amp;$BM61,Règles_bison[Ration]&amp;Règles_bison[Aliment],0)),0),0)*TotalBisonsMales_0_3_mois*NbreJoursNourrirBisonsDaims)</f>
        <v>0</v>
      </c>
      <c r="BU61" s="332">
        <f t="shared" si="0"/>
        <v>0</v>
      </c>
      <c r="BX61" s="355" t="s">
        <v>474</v>
      </c>
      <c r="BY61" s="280" t="s">
        <v>160</v>
      </c>
      <c r="BZ61" s="280" t="s">
        <v>712</v>
      </c>
      <c r="CA61" s="280">
        <v>1.6</v>
      </c>
      <c r="CB61" s="280">
        <v>1.4</v>
      </c>
      <c r="CC61" s="280">
        <v>1.2</v>
      </c>
      <c r="CD61" s="392">
        <v>1</v>
      </c>
      <c r="CE61" s="297"/>
      <c r="CF61" s="297"/>
      <c r="CG61" s="297"/>
      <c r="CH61" s="297"/>
    </row>
    <row r="62" spans="1:86" ht="12.75" customHeight="1" x14ac:dyDescent="0.2">
      <c r="A62" s="355" t="s">
        <v>48</v>
      </c>
      <c r="B62" s="362">
        <f t="shared" ref="B62:B97" si="1">1/1000</f>
        <v>1E-3</v>
      </c>
      <c r="F62" s="280" t="s">
        <v>383</v>
      </c>
      <c r="G62" s="280">
        <v>8</v>
      </c>
      <c r="H62" s="280" t="s">
        <v>512</v>
      </c>
      <c r="I62" s="280" t="s">
        <v>680</v>
      </c>
      <c r="J62" s="280" t="s">
        <v>513</v>
      </c>
      <c r="K62" s="280">
        <v>0</v>
      </c>
      <c r="L62" s="280" t="s">
        <v>680</v>
      </c>
      <c r="M62" s="280">
        <v>0</v>
      </c>
      <c r="N62" s="277"/>
      <c r="O62" s="280" t="s">
        <v>104</v>
      </c>
      <c r="P62" s="280">
        <v>6</v>
      </c>
      <c r="Q62" s="280">
        <v>5.6</v>
      </c>
      <c r="R62" s="280">
        <v>4.5999999999999996</v>
      </c>
      <c r="S62" s="280">
        <v>3.6</v>
      </c>
      <c r="T62" s="280">
        <v>3.5</v>
      </c>
      <c r="U62" s="280">
        <v>5.3</v>
      </c>
      <c r="V62" s="280"/>
      <c r="W62" s="280">
        <v>9.4</v>
      </c>
      <c r="X62" s="280">
        <v>10.6</v>
      </c>
      <c r="Y62" s="280">
        <v>0</v>
      </c>
      <c r="Z62" s="280">
        <v>3.3</v>
      </c>
      <c r="AA62" s="280">
        <v>2.4</v>
      </c>
      <c r="AB62" s="280">
        <v>3.2</v>
      </c>
      <c r="AC62" s="280">
        <v>2</v>
      </c>
      <c r="AD62" s="280">
        <v>3.1</v>
      </c>
      <c r="AE62" s="280">
        <v>0</v>
      </c>
      <c r="AF62" s="280">
        <v>28</v>
      </c>
      <c r="AG62" s="280">
        <v>0</v>
      </c>
      <c r="AH62" s="280">
        <v>0</v>
      </c>
      <c r="AI62" s="280">
        <v>14</v>
      </c>
      <c r="AJ62" s="280">
        <v>11</v>
      </c>
      <c r="AK62" s="280">
        <v>0</v>
      </c>
      <c r="AL62" s="280">
        <v>11</v>
      </c>
      <c r="AM62" s="280"/>
      <c r="AN62" s="280">
        <v>2.9</v>
      </c>
      <c r="AO62" s="280">
        <v>28</v>
      </c>
      <c r="AP62" s="280">
        <v>21</v>
      </c>
      <c r="AQ62" s="280">
        <v>19</v>
      </c>
      <c r="AR62" s="280">
        <v>10</v>
      </c>
      <c r="AS62" s="280">
        <v>9</v>
      </c>
      <c r="AT62" s="280">
        <v>4</v>
      </c>
      <c r="AU62" s="280">
        <v>3</v>
      </c>
      <c r="AV62" s="280">
        <v>4</v>
      </c>
      <c r="AW62" s="280">
        <v>8.5</v>
      </c>
      <c r="AX62" s="280">
        <v>10</v>
      </c>
      <c r="AY62" s="280">
        <v>10</v>
      </c>
      <c r="BB62" s="369" t="s">
        <v>435</v>
      </c>
      <c r="BC62" s="344" t="s">
        <v>383</v>
      </c>
      <c r="BD62" s="344" t="s">
        <v>712</v>
      </c>
      <c r="BE62" s="370">
        <v>7.2</v>
      </c>
      <c r="BF62" s="370">
        <v>6</v>
      </c>
      <c r="BG62" s="370">
        <v>4</v>
      </c>
      <c r="BH62" s="370">
        <v>2</v>
      </c>
      <c r="BI62" s="370">
        <v>1.2</v>
      </c>
      <c r="BJ62" s="370">
        <v>0.6</v>
      </c>
      <c r="BK62" s="371">
        <v>0</v>
      </c>
      <c r="BL62" s="305"/>
      <c r="BM62" s="332" t="s">
        <v>285</v>
      </c>
      <c r="BN62" s="332">
        <f t="array" ref="BN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36 et plus],MATCH(ChoixRationBisons&amp;$BM62,Règles_bison[Ration]&amp;Règles_bison[Aliment],0)),0),0)*TotalBisonsMalesAdultes*NbreJoursNourrirBisonsDaims)</f>
        <v>0</v>
      </c>
      <c r="BO62" s="332">
        <f t="array" ref="BO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24-36],MATCH(ChoixRationBisons&amp;$BM62,Règles_bison[Ration]&amp;Règles_bison[Aliment],0)),0),0)*TotalBisonsMales_24_36_mois*NbreJoursNourrirBisonsDaims)</f>
        <v>0</v>
      </c>
      <c r="BP62" s="332">
        <f t="array" ref="BP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18-24],MATCH(ChoixRationBisons&amp;$BM62,Règles_bison[Ration]&amp;Règles_bison[Aliment],0)),0),0)*TotalBisonsMales_18_24_mois*NbreJoursNourrirBisonsDaims)</f>
        <v>0</v>
      </c>
      <c r="BQ62" s="332">
        <f t="array" ref="BQ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12-18],MATCH(ChoixRationBisons&amp;$BM62,Règles_bison[Ration]&amp;Règles_bison[Aliment],0)),0),0)*TotalBisonsMales_12_18_mois*NbreJoursNourrirBisonsDaims)</f>
        <v>0</v>
      </c>
      <c r="BR62" s="332">
        <f t="array" ref="BR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6-12],MATCH(ChoixRationBisons&amp;$BM62,Règles_bison[Ration]&amp;Règles_bison[Aliment],0)),0),0)*TotalBisonsMales_6_12_mois*NbreJoursNourrirBisonsDaims)</f>
        <v>0</v>
      </c>
      <c r="BS62" s="332">
        <f t="array" ref="BS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3-6],MATCH(ChoixRationBisons&amp;$BM62,Règles_bison[Ration]&amp;Règles_bison[Aliment],0)),0),0)*TotalBisonsMales_3_6_mois*NbreJoursNourrirBisonsDaims)</f>
        <v>0</v>
      </c>
      <c r="BT62" s="332">
        <f t="array" ref="BT62">IF(Ration_hivernale_complète_bisons[somme]&gt;0,0,IFERROR(IF(OR(AND(INDEX(Règles_bison[Specificite],MATCH(ChoixRationBisons&amp;$BM62,Règles_bison[Ration]&amp;Règles_bison[Aliment],0))="s1",IF($BM62=ChoixSpécificité1Bisons,1)),
INDEX(Règles_bison[Specificite],MATCH(ChoixRationBisons&amp;$BM62,Règles_bison[Ration]&amp;Règles_bison[Aliment],0))="c"),
INDEX(Règles_bison[Valeur 0-3],MATCH(ChoixRationBisons&amp;$BM62,Règles_bison[Ration]&amp;Règles_bison[Aliment],0)),0),0)*TotalBisonsMales_0_3_mois*NbreJoursNourrirBisonsDaims)</f>
        <v>0</v>
      </c>
      <c r="BU62" s="332">
        <f t="shared" si="0"/>
        <v>0</v>
      </c>
      <c r="BX62" s="355" t="s">
        <v>474</v>
      </c>
      <c r="BY62" s="280" t="s">
        <v>47</v>
      </c>
      <c r="BZ62" s="280" t="s">
        <v>712</v>
      </c>
      <c r="CA62" s="280">
        <v>1.6</v>
      </c>
      <c r="CB62" s="280">
        <v>1.4</v>
      </c>
      <c r="CC62" s="280">
        <v>1.2</v>
      </c>
      <c r="CD62" s="392">
        <v>1</v>
      </c>
      <c r="CE62" s="297"/>
      <c r="CF62" s="297"/>
      <c r="CG62" s="297"/>
      <c r="CH62" s="297"/>
    </row>
    <row r="63" spans="1:86" ht="12.75" customHeight="1" x14ac:dyDescent="0.2">
      <c r="A63" s="355" t="s">
        <v>211</v>
      </c>
      <c r="B63" s="362">
        <f t="shared" si="1"/>
        <v>1E-3</v>
      </c>
      <c r="F63" s="280" t="s">
        <v>384</v>
      </c>
      <c r="G63" s="280">
        <v>8</v>
      </c>
      <c r="H63" s="280" t="s">
        <v>512</v>
      </c>
      <c r="I63" s="280" t="s">
        <v>680</v>
      </c>
      <c r="J63" s="280" t="s">
        <v>513</v>
      </c>
      <c r="K63" s="280">
        <v>0</v>
      </c>
      <c r="L63" s="280" t="s">
        <v>680</v>
      </c>
      <c r="M63" s="280">
        <v>0</v>
      </c>
      <c r="N63" s="277"/>
      <c r="BB63" s="369" t="s">
        <v>435</v>
      </c>
      <c r="BC63" s="344" t="s">
        <v>160</v>
      </c>
      <c r="BD63" s="344" t="s">
        <v>712</v>
      </c>
      <c r="BE63" s="370">
        <v>7.2</v>
      </c>
      <c r="BF63" s="370">
        <v>6</v>
      </c>
      <c r="BG63" s="370">
        <v>4</v>
      </c>
      <c r="BH63" s="370">
        <v>2</v>
      </c>
      <c r="BI63" s="370">
        <v>1.2</v>
      </c>
      <c r="BJ63" s="370">
        <v>0.6</v>
      </c>
      <c r="BK63" s="371">
        <v>0</v>
      </c>
      <c r="BL63" s="305"/>
      <c r="BM63" s="332" t="s">
        <v>42</v>
      </c>
      <c r="BN63" s="332">
        <f t="array" ref="BN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36 et plus],MATCH(ChoixRationBisons&amp;$BM63,Règles_bison[Ration]&amp;Règles_bison[Aliment],0)),0),0)*TotalBisonsMalesAdultes*NbreJoursNourrirBisonsDaims)</f>
        <v>0</v>
      </c>
      <c r="BO63" s="332">
        <f t="array" ref="BO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24-36],MATCH(ChoixRationBisons&amp;$BM63,Règles_bison[Ration]&amp;Règles_bison[Aliment],0)),0),0)*TotalBisonsMales_24_36_mois*NbreJoursNourrirBisonsDaims)</f>
        <v>0</v>
      </c>
      <c r="BP63" s="332">
        <f t="array" ref="BP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18-24],MATCH(ChoixRationBisons&amp;$BM63,Règles_bison[Ration]&amp;Règles_bison[Aliment],0)),0),0)*TotalBisonsMales_18_24_mois*NbreJoursNourrirBisonsDaims)</f>
        <v>0</v>
      </c>
      <c r="BQ63" s="332">
        <f t="array" ref="BQ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12-18],MATCH(ChoixRationBisons&amp;$BM63,Règles_bison[Ration]&amp;Règles_bison[Aliment],0)),0),0)*TotalBisonsMales_12_18_mois*NbreJoursNourrirBisonsDaims)</f>
        <v>0</v>
      </c>
      <c r="BR63" s="332">
        <f t="array" ref="BR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6-12],MATCH(ChoixRationBisons&amp;$BM63,Règles_bison[Ration]&amp;Règles_bison[Aliment],0)),0),0)*TotalBisonsMales_6_12_mois*NbreJoursNourrirBisonsDaims)</f>
        <v>0</v>
      </c>
      <c r="BS63" s="332">
        <f t="array" ref="BS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3-6],MATCH(ChoixRationBisons&amp;$BM63,Règles_bison[Ration]&amp;Règles_bison[Aliment],0)),0),0)*TotalBisonsMales_3_6_mois*NbreJoursNourrirBisonsDaims)</f>
        <v>0</v>
      </c>
      <c r="BT63" s="332">
        <f t="array" ref="BT63">IF(Ration_hivernale_complète_bisons[somme]&gt;0,0,IFERROR(IF(OR(AND(INDEX(Règles_bison[Specificite],MATCH(ChoixRationBisons&amp;$BM63,Règles_bison[Ration]&amp;Règles_bison[Aliment],0))="s1",IF($BM63=ChoixSpécificité1Bisons,1)),
INDEX(Règles_bison[Specificite],MATCH(ChoixRationBisons&amp;$BM63,Règles_bison[Ration]&amp;Règles_bison[Aliment],0))="c"),
INDEX(Règles_bison[Valeur 0-3],MATCH(ChoixRationBisons&amp;$BM63,Règles_bison[Ration]&amp;Règles_bison[Aliment],0)),0),0)*TotalBisonsMales_0_3_mois*NbreJoursNourrirBisonsDaims)</f>
        <v>0</v>
      </c>
      <c r="BU63" s="332">
        <f t="shared" si="0"/>
        <v>0</v>
      </c>
      <c r="BX63" s="355" t="s">
        <v>474</v>
      </c>
      <c r="BY63" s="280" t="s">
        <v>730</v>
      </c>
      <c r="BZ63" s="280" t="s">
        <v>711</v>
      </c>
      <c r="CA63" s="280">
        <v>0.08</v>
      </c>
      <c r="CB63" s="280">
        <v>0.04</v>
      </c>
      <c r="CC63" s="280">
        <v>0.04</v>
      </c>
      <c r="CD63" s="392">
        <v>0.04</v>
      </c>
      <c r="CE63" s="297"/>
      <c r="CF63" s="297"/>
      <c r="CG63" s="297"/>
      <c r="CH63" s="297"/>
    </row>
    <row r="64" spans="1:86" ht="12.75" customHeight="1" x14ac:dyDescent="0.2">
      <c r="A64" s="355" t="s">
        <v>212</v>
      </c>
      <c r="B64" s="362">
        <f t="shared" si="1"/>
        <v>1E-3</v>
      </c>
      <c r="F64" s="280" t="s">
        <v>47</v>
      </c>
      <c r="G64" s="280">
        <v>8</v>
      </c>
      <c r="H64" s="280" t="s">
        <v>512</v>
      </c>
      <c r="I64" s="280" t="s">
        <v>514</v>
      </c>
      <c r="J64" s="280" t="s">
        <v>515</v>
      </c>
      <c r="K64" s="280">
        <v>0</v>
      </c>
      <c r="L64" s="280" t="s">
        <v>514</v>
      </c>
      <c r="M64" s="280">
        <v>0</v>
      </c>
      <c r="N64" s="277"/>
      <c r="O64" s="283" t="s">
        <v>613</v>
      </c>
      <c r="P64" s="283" t="str">
        <f t="shared" ref="P64:U64" si="2">P32</f>
        <v>Blé</v>
      </c>
      <c r="Q64" s="283" t="str">
        <f t="shared" si="2"/>
        <v>Orge</v>
      </c>
      <c r="R64" s="283" t="str">
        <f t="shared" si="2"/>
        <v>Orge de printemps</v>
      </c>
      <c r="S64" s="283" t="str">
        <f t="shared" si="2"/>
        <v>Avoine</v>
      </c>
      <c r="T64" s="283" t="str">
        <f t="shared" si="2"/>
        <v>Avoine de printemps</v>
      </c>
      <c r="U64" s="283" t="str">
        <f t="shared" si="2"/>
        <v>Triticale</v>
      </c>
      <c r="V64" s="283"/>
      <c r="W64" s="283" t="str">
        <f t="shared" ref="W64:AG64" si="3">W32</f>
        <v>Maïs grain</v>
      </c>
      <c r="X64" s="283" t="str">
        <f t="shared" si="3"/>
        <v>Maïs ensilé</v>
      </c>
      <c r="Y64" s="283" t="str">
        <f t="shared" si="3"/>
        <v>Betterave</v>
      </c>
      <c r="Z64" s="283" t="str">
        <f t="shared" si="3"/>
        <v>Colza</v>
      </c>
      <c r="AA64" s="283" t="str">
        <f t="shared" si="3"/>
        <v>Tournesol</v>
      </c>
      <c r="AB64" s="283" t="str">
        <f t="shared" si="3"/>
        <v>Pois</v>
      </c>
      <c r="AC64" s="283" t="str">
        <f t="shared" si="3"/>
        <v>Féverole</v>
      </c>
      <c r="AD64" s="283" t="str">
        <f t="shared" si="3"/>
        <v>Soja</v>
      </c>
      <c r="AE64" s="283" t="str">
        <f t="shared" si="3"/>
        <v>Lin</v>
      </c>
      <c r="AF64" s="283" t="str">
        <f t="shared" si="3"/>
        <v>Pomme de terre</v>
      </c>
      <c r="AG64" s="457" t="str">
        <f t="shared" si="3"/>
        <v>Chanvre Industriel</v>
      </c>
      <c r="AH64" s="457"/>
      <c r="AI64" s="283" t="str">
        <f>AI32</f>
        <v>Epinard</v>
      </c>
      <c r="AJ64" s="283" t="str">
        <f>AJ32</f>
        <v>Haricot vert</v>
      </c>
      <c r="AK64" s="283" t="str">
        <f>AK32</f>
        <v>Lentille</v>
      </c>
      <c r="AL64" s="283" t="str">
        <f>AL32</f>
        <v>Sorgho ensilé</v>
      </c>
      <c r="AM64" s="283"/>
      <c r="AN64" s="283" t="str">
        <f>AN32</f>
        <v>Tabac</v>
      </c>
      <c r="AO64" s="292" t="s">
        <v>808</v>
      </c>
      <c r="AP64" s="292" t="s">
        <v>809</v>
      </c>
      <c r="AQ64" s="292" t="s">
        <v>810</v>
      </c>
      <c r="AR64" s="292" t="s">
        <v>811</v>
      </c>
      <c r="AS64" s="292" t="s">
        <v>812</v>
      </c>
      <c r="AT64" s="292" t="s">
        <v>813</v>
      </c>
      <c r="AU64" s="292" t="s">
        <v>816</v>
      </c>
      <c r="AV64" s="292" t="s">
        <v>817</v>
      </c>
      <c r="AW64" s="292" t="s">
        <v>818</v>
      </c>
      <c r="AX64" s="292" t="s">
        <v>819</v>
      </c>
      <c r="AY64" s="292" t="s">
        <v>820</v>
      </c>
      <c r="BB64" s="369" t="s">
        <v>435</v>
      </c>
      <c r="BC64" s="344" t="s">
        <v>47</v>
      </c>
      <c r="BD64" s="344" t="s">
        <v>712</v>
      </c>
      <c r="BE64" s="370">
        <v>7.2</v>
      </c>
      <c r="BF64" s="370">
        <v>6</v>
      </c>
      <c r="BG64" s="370">
        <v>4</v>
      </c>
      <c r="BH64" s="370">
        <v>2</v>
      </c>
      <c r="BI64" s="370">
        <v>1.2</v>
      </c>
      <c r="BJ64" s="370">
        <v>0.6</v>
      </c>
      <c r="BK64" s="371">
        <v>0</v>
      </c>
      <c r="BL64" s="305"/>
      <c r="BM64" s="332" t="s">
        <v>382</v>
      </c>
      <c r="BN64" s="332">
        <f t="array" ref="BN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36 et plus],MATCH(ChoixRationBisons&amp;$BM64,Règles_bison[Ration]&amp;Règles_bison[Aliment],0)),0),0)*TotalBisonsMalesAdultes*NbreJoursNourrirBisonsDaims)</f>
        <v>0</v>
      </c>
      <c r="BO64" s="332">
        <f t="array" ref="BO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24-36],MATCH(ChoixRationBisons&amp;$BM64,Règles_bison[Ration]&amp;Règles_bison[Aliment],0)),0),0)*TotalBisonsMales_24_36_mois*NbreJoursNourrirBisonsDaims)</f>
        <v>0</v>
      </c>
      <c r="BP64" s="332">
        <f t="array" ref="BP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18-24],MATCH(ChoixRationBisons&amp;$BM64,Règles_bison[Ration]&amp;Règles_bison[Aliment],0)),0),0)*TotalBisonsMales_18_24_mois*NbreJoursNourrirBisonsDaims)</f>
        <v>0</v>
      </c>
      <c r="BQ64" s="332">
        <f t="array" ref="BQ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12-18],MATCH(ChoixRationBisons&amp;$BM64,Règles_bison[Ration]&amp;Règles_bison[Aliment],0)),0),0)*TotalBisonsMales_12_18_mois*NbreJoursNourrirBisonsDaims)</f>
        <v>0</v>
      </c>
      <c r="BR64" s="332">
        <f t="array" ref="BR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6-12],MATCH(ChoixRationBisons&amp;$BM64,Règles_bison[Ration]&amp;Règles_bison[Aliment],0)),0),0)*TotalBisonsMales_6_12_mois*NbreJoursNourrirBisonsDaims)</f>
        <v>0</v>
      </c>
      <c r="BS64" s="332">
        <f t="array" ref="BS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3-6],MATCH(ChoixRationBisons&amp;$BM64,Règles_bison[Ration]&amp;Règles_bison[Aliment],0)),0),0)*TotalBisonsMales_3_6_mois*NbreJoursNourrirBisonsDaims)</f>
        <v>0</v>
      </c>
      <c r="BT64" s="332">
        <f t="array" ref="BT64">IF(Ration_hivernale_complète_bisons[somme]&gt;0,0,IFERROR(IF(OR(AND(INDEX(Règles_bison[Specificite],MATCH(ChoixRationBisons&amp;$BM64,Règles_bison[Ration]&amp;Règles_bison[Aliment],0))="s1",IF($BM64=ChoixSpécificité1Bisons,1)),
INDEX(Règles_bison[Specificite],MATCH(ChoixRationBisons&amp;$BM64,Règles_bison[Ration]&amp;Règles_bison[Aliment],0))="c"),
INDEX(Règles_bison[Valeur 0-3],MATCH(ChoixRationBisons&amp;$BM64,Règles_bison[Ration]&amp;Règles_bison[Aliment],0)),0),0)*TotalBisonsMales_0_3_mois*NbreJoursNourrirBisonsDaims)</f>
        <v>0</v>
      </c>
      <c r="BU64" s="332">
        <f t="shared" si="0"/>
        <v>0</v>
      </c>
      <c r="BX64" s="355" t="s">
        <v>474</v>
      </c>
      <c r="BY64" s="280" t="s">
        <v>444</v>
      </c>
      <c r="BZ64" s="280" t="s">
        <v>711</v>
      </c>
      <c r="CA64" s="280">
        <v>20</v>
      </c>
      <c r="CB64" s="280">
        <v>12</v>
      </c>
      <c r="CC64" s="280">
        <v>8</v>
      </c>
      <c r="CD64" s="392">
        <v>4</v>
      </c>
      <c r="CE64" s="297"/>
      <c r="CF64" s="297"/>
      <c r="CG64" s="297"/>
      <c r="CH64" s="297"/>
    </row>
    <row r="65" spans="1:86" ht="12.75" customHeight="1" x14ac:dyDescent="0.2">
      <c r="A65" s="355" t="s">
        <v>213</v>
      </c>
      <c r="B65" s="362">
        <f t="shared" si="1"/>
        <v>1E-3</v>
      </c>
      <c r="F65" s="280" t="s">
        <v>169</v>
      </c>
      <c r="G65" s="280">
        <v>6</v>
      </c>
      <c r="H65" s="280" t="s">
        <v>516</v>
      </c>
      <c r="I65" s="280">
        <v>0</v>
      </c>
      <c r="J65" s="280">
        <v>0</v>
      </c>
      <c r="K65" s="280">
        <v>0</v>
      </c>
      <c r="L65" s="280">
        <v>0</v>
      </c>
      <c r="M65" s="280">
        <v>0</v>
      </c>
      <c r="N65" s="277"/>
      <c r="O65" s="280" t="s">
        <v>33</v>
      </c>
      <c r="P65" s="280">
        <v>8.9</v>
      </c>
      <c r="Q65" s="280">
        <v>7.4</v>
      </c>
      <c r="R65" s="280">
        <v>6.9</v>
      </c>
      <c r="S65" s="280">
        <v>5.6</v>
      </c>
      <c r="T65" s="280">
        <v>4.7</v>
      </c>
      <c r="U65" s="280">
        <v>7</v>
      </c>
      <c r="V65" s="280"/>
      <c r="W65" s="280">
        <v>14</v>
      </c>
      <c r="X65" s="280">
        <v>15</v>
      </c>
      <c r="Y65" s="280">
        <v>85</v>
      </c>
      <c r="Z65" s="280">
        <v>3.5</v>
      </c>
      <c r="AA65" s="280">
        <v>0</v>
      </c>
      <c r="AB65" s="280">
        <v>3</v>
      </c>
      <c r="AC65" s="280">
        <v>3</v>
      </c>
      <c r="AD65" s="280">
        <v>0</v>
      </c>
      <c r="AE65" s="280">
        <v>3.2</v>
      </c>
      <c r="AF65" s="280">
        <v>47.5</v>
      </c>
      <c r="AG65" s="280">
        <v>0.8</v>
      </c>
      <c r="AH65" s="280">
        <v>7</v>
      </c>
      <c r="AI65" s="280">
        <v>22</v>
      </c>
      <c r="AJ65" s="280">
        <v>12</v>
      </c>
      <c r="AK65" s="280">
        <v>0</v>
      </c>
      <c r="AL65" s="280">
        <v>0</v>
      </c>
      <c r="AM65" s="280"/>
      <c r="AN65" s="280">
        <v>3.8</v>
      </c>
      <c r="AO65" s="280">
        <v>0</v>
      </c>
      <c r="AP65" s="280">
        <v>26</v>
      </c>
      <c r="AQ65" s="280">
        <v>0</v>
      </c>
      <c r="AR65" s="280">
        <v>0</v>
      </c>
      <c r="AS65" s="280">
        <v>6</v>
      </c>
      <c r="AT65" s="280">
        <v>0</v>
      </c>
      <c r="AU65" s="280">
        <v>0</v>
      </c>
      <c r="AV65" s="280">
        <v>0</v>
      </c>
      <c r="AW65" s="280">
        <v>8.5</v>
      </c>
      <c r="AX65" s="280">
        <v>10</v>
      </c>
      <c r="AY65" s="280">
        <v>10</v>
      </c>
      <c r="BB65" s="369" t="s">
        <v>435</v>
      </c>
      <c r="BC65" s="344" t="s">
        <v>732</v>
      </c>
      <c r="BD65" s="344" t="s">
        <v>713</v>
      </c>
      <c r="BE65" s="370">
        <v>4.8</v>
      </c>
      <c r="BF65" s="370">
        <v>4</v>
      </c>
      <c r="BG65" s="370">
        <v>4</v>
      </c>
      <c r="BH65" s="370">
        <v>4</v>
      </c>
      <c r="BI65" s="370">
        <v>2</v>
      </c>
      <c r="BJ65" s="370">
        <v>1.2</v>
      </c>
      <c r="BK65" s="371">
        <v>0</v>
      </c>
      <c r="BL65" s="305"/>
      <c r="BM65" s="332" t="s">
        <v>168</v>
      </c>
      <c r="BN65" s="332">
        <f t="array" ref="BN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36 et plus],MATCH(ChoixRationBisons&amp;$BM65,Règles_bison[Ration]&amp;Règles_bison[Aliment],0)),0),0)*TotalBisonsMalesAdultes*NbreJoursNourrirBisonsDaims)</f>
        <v>0</v>
      </c>
      <c r="BO65" s="332">
        <f t="array" ref="BO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24-36],MATCH(ChoixRationBisons&amp;$BM65,Règles_bison[Ration]&amp;Règles_bison[Aliment],0)),0),0)*TotalBisonsMales_24_36_mois*NbreJoursNourrirBisonsDaims)</f>
        <v>0</v>
      </c>
      <c r="BP65" s="332">
        <f t="array" ref="BP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18-24],MATCH(ChoixRationBisons&amp;$BM65,Règles_bison[Ration]&amp;Règles_bison[Aliment],0)),0),0)*TotalBisonsMales_18_24_mois*NbreJoursNourrirBisonsDaims)</f>
        <v>0</v>
      </c>
      <c r="BQ65" s="332">
        <f t="array" ref="BQ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12-18],MATCH(ChoixRationBisons&amp;$BM65,Règles_bison[Ration]&amp;Règles_bison[Aliment],0)),0),0)*TotalBisonsMales_12_18_mois*NbreJoursNourrirBisonsDaims)</f>
        <v>0</v>
      </c>
      <c r="BR65" s="332">
        <f t="array" ref="BR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6-12],MATCH(ChoixRationBisons&amp;$BM65,Règles_bison[Ration]&amp;Règles_bison[Aliment],0)),0),0)*TotalBisonsMales_6_12_mois*NbreJoursNourrirBisonsDaims)</f>
        <v>0</v>
      </c>
      <c r="BS65" s="332">
        <f t="array" ref="BS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3-6],MATCH(ChoixRationBisons&amp;$BM65,Règles_bison[Ration]&amp;Règles_bison[Aliment],0)),0),0)*TotalBisonsMales_3_6_mois*NbreJoursNourrirBisonsDaims)</f>
        <v>0</v>
      </c>
      <c r="BT65" s="332">
        <f t="array" ref="BT65">IF(Ration_hivernale_complète_bisons[somme]&gt;0,0,IFERROR(IF(OR(AND(INDEX(Règles_bison[Specificite],MATCH(ChoixRationBisons&amp;$BM65,Règles_bison[Ration]&amp;Règles_bison[Aliment],0))="s1",IF($BM65=ChoixSpécificité1Bisons,1)),
INDEX(Règles_bison[Specificite],MATCH(ChoixRationBisons&amp;$BM65,Règles_bison[Ration]&amp;Règles_bison[Aliment],0))="c"),
INDEX(Règles_bison[Valeur 0-3],MATCH(ChoixRationBisons&amp;$BM65,Règles_bison[Ration]&amp;Règles_bison[Aliment],0)),0),0)*TotalBisonsMales_0_3_mois*NbreJoursNourrirBisonsDaims)</f>
        <v>0</v>
      </c>
      <c r="BU65" s="332">
        <f t="shared" si="0"/>
        <v>0</v>
      </c>
      <c r="BX65" s="355" t="s">
        <v>124</v>
      </c>
      <c r="BY65" s="280" t="s">
        <v>434</v>
      </c>
      <c r="BZ65" s="280" t="s">
        <v>735</v>
      </c>
      <c r="CA65" s="280">
        <v>19</v>
      </c>
      <c r="CB65" s="280">
        <v>14</v>
      </c>
      <c r="CC65" s="280">
        <v>10</v>
      </c>
      <c r="CD65" s="392">
        <v>3</v>
      </c>
      <c r="CE65" s="297"/>
      <c r="CF65" s="297"/>
      <c r="CG65" s="297"/>
      <c r="CH65" s="297"/>
    </row>
    <row r="66" spans="1:86" ht="12.75" customHeight="1" x14ac:dyDescent="0.2">
      <c r="A66" s="355" t="s">
        <v>227</v>
      </c>
      <c r="B66" s="362">
        <f t="shared" si="1"/>
        <v>1E-3</v>
      </c>
      <c r="F66" s="280" t="s">
        <v>170</v>
      </c>
      <c r="G66" s="280">
        <v>5</v>
      </c>
      <c r="H66" s="280" t="s">
        <v>516</v>
      </c>
      <c r="I66" s="280">
        <v>0</v>
      </c>
      <c r="J66" s="280">
        <v>0</v>
      </c>
      <c r="K66" s="280">
        <v>0</v>
      </c>
      <c r="L66" s="280">
        <v>0</v>
      </c>
      <c r="M66" s="280">
        <v>0</v>
      </c>
      <c r="N66" s="277"/>
      <c r="O66" s="280" t="s">
        <v>34</v>
      </c>
      <c r="P66" s="280">
        <v>9.1</v>
      </c>
      <c r="Q66" s="280">
        <v>7.2</v>
      </c>
      <c r="R66" s="280">
        <v>6.7</v>
      </c>
      <c r="S66" s="280">
        <v>5.7</v>
      </c>
      <c r="T66" s="280">
        <v>4.8</v>
      </c>
      <c r="U66" s="280">
        <v>7.2</v>
      </c>
      <c r="V66" s="280"/>
      <c r="W66" s="280">
        <v>12.8</v>
      </c>
      <c r="X66" s="280">
        <v>15.8</v>
      </c>
      <c r="Y66" s="280">
        <v>75</v>
      </c>
      <c r="Z66" s="280">
        <v>0</v>
      </c>
      <c r="AA66" s="280">
        <v>0</v>
      </c>
      <c r="AB66" s="280">
        <v>3</v>
      </c>
      <c r="AC66" s="280">
        <v>3</v>
      </c>
      <c r="AD66" s="280">
        <v>0</v>
      </c>
      <c r="AE66" s="280">
        <v>3.2</v>
      </c>
      <c r="AF66" s="280">
        <v>49</v>
      </c>
      <c r="AG66" s="280">
        <v>0.8</v>
      </c>
      <c r="AH66" s="280">
        <v>7</v>
      </c>
      <c r="AI66" s="280">
        <v>22</v>
      </c>
      <c r="AJ66" s="280">
        <v>12</v>
      </c>
      <c r="AK66" s="280">
        <v>0</v>
      </c>
      <c r="AL66" s="280">
        <v>0</v>
      </c>
      <c r="AM66" s="280"/>
      <c r="AN66" s="280">
        <v>3.8</v>
      </c>
      <c r="AO66" s="280">
        <v>38</v>
      </c>
      <c r="AP66" s="280">
        <v>28</v>
      </c>
      <c r="AQ66" s="280">
        <v>0</v>
      </c>
      <c r="AR66" s="280">
        <v>0</v>
      </c>
      <c r="AS66" s="280">
        <v>6</v>
      </c>
      <c r="AT66" s="280">
        <v>0</v>
      </c>
      <c r="AU66" s="280">
        <v>0</v>
      </c>
      <c r="AV66" s="280">
        <v>0</v>
      </c>
      <c r="AW66" s="280">
        <v>8.5</v>
      </c>
      <c r="AX66" s="280">
        <v>10</v>
      </c>
      <c r="AY66" s="280">
        <v>10</v>
      </c>
      <c r="BB66" s="369" t="s">
        <v>435</v>
      </c>
      <c r="BC66" s="344" t="s">
        <v>426</v>
      </c>
      <c r="BD66" s="344" t="s">
        <v>713</v>
      </c>
      <c r="BE66" s="370">
        <v>4.8</v>
      </c>
      <c r="BF66" s="370">
        <v>4</v>
      </c>
      <c r="BG66" s="370">
        <v>4</v>
      </c>
      <c r="BH66" s="370">
        <v>4</v>
      </c>
      <c r="BI66" s="370">
        <v>2</v>
      </c>
      <c r="BJ66" s="370">
        <v>1.2</v>
      </c>
      <c r="BK66" s="371">
        <v>0</v>
      </c>
      <c r="BL66" s="305"/>
      <c r="BM66" s="332" t="s">
        <v>732</v>
      </c>
      <c r="BN66" s="332">
        <f t="array" ref="BN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36 et plus],MATCH(ChoixRationBisons&amp;$BM66,Règles_bison[Ration]&amp;Règles_bison[Aliment],0)),0),0)*TotalBisonsMalesAdultes*NbreJoursNourrirBisonsDaims)</f>
        <v>0</v>
      </c>
      <c r="BO66" s="332">
        <f t="array" ref="BO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24-36],MATCH(ChoixRationBisons&amp;$BM66,Règles_bison[Ration]&amp;Règles_bison[Aliment],0)),0),0)*TotalBisonsMales_24_36_mois*NbreJoursNourrirBisonsDaims)</f>
        <v>0</v>
      </c>
      <c r="BP66" s="332">
        <f t="array" ref="BP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18-24],MATCH(ChoixRationBisons&amp;$BM66,Règles_bison[Ration]&amp;Règles_bison[Aliment],0)),0),0)*TotalBisonsMales_18_24_mois*NbreJoursNourrirBisonsDaims)</f>
        <v>0</v>
      </c>
      <c r="BQ66" s="332">
        <f t="array" ref="BQ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12-18],MATCH(ChoixRationBisons&amp;$BM66,Règles_bison[Ration]&amp;Règles_bison[Aliment],0)),0),0)*TotalBisonsMales_12_18_mois*NbreJoursNourrirBisonsDaims)</f>
        <v>0</v>
      </c>
      <c r="BR66" s="332">
        <f t="array" ref="BR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6-12],MATCH(ChoixRationBisons&amp;$BM66,Règles_bison[Ration]&amp;Règles_bison[Aliment],0)),0),0)*TotalBisonsMales_6_12_mois*NbreJoursNourrirBisonsDaims)</f>
        <v>0</v>
      </c>
      <c r="BS66" s="332">
        <f t="array" ref="BS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3-6],MATCH(ChoixRationBisons&amp;$BM66,Règles_bison[Ration]&amp;Règles_bison[Aliment],0)),0),0)*TotalBisonsMales_3_6_mois*NbreJoursNourrirBisonsDaims)</f>
        <v>0</v>
      </c>
      <c r="BT66" s="332">
        <f t="array" ref="BT66">IF(Ration_hivernale_complète_bisons[somme]&gt;0,0,IFERROR(IF(OR(AND(INDEX(Règles_bison[Specificite],MATCH(ChoixRationBisons&amp;$BM66,Règles_bison[Ration]&amp;Règles_bison[Aliment],0))="s1",IF($BM66=ChoixSpécificité1Bisons,1)),
INDEX(Règles_bison[Specificite],MATCH(ChoixRationBisons&amp;$BM66,Règles_bison[Ration]&amp;Règles_bison[Aliment],0))="c"),
INDEX(Règles_bison[Valeur 0-3],MATCH(ChoixRationBisons&amp;$BM66,Règles_bison[Ration]&amp;Règles_bison[Aliment],0)),0),0)*TotalBisonsMales_0_3_mois*NbreJoursNourrirBisonsDaims)</f>
        <v>0</v>
      </c>
      <c r="BU66" s="332">
        <f t="shared" si="0"/>
        <v>0</v>
      </c>
      <c r="BX66" s="355" t="s">
        <v>124</v>
      </c>
      <c r="BY66" s="280" t="s">
        <v>124</v>
      </c>
      <c r="BZ66" s="280" t="s">
        <v>711</v>
      </c>
      <c r="CA66" s="280">
        <v>16</v>
      </c>
      <c r="CB66" s="280">
        <v>12</v>
      </c>
      <c r="CC66" s="280">
        <v>6</v>
      </c>
      <c r="CD66" s="392">
        <v>2.8</v>
      </c>
      <c r="CE66" s="297"/>
      <c r="CF66" s="297"/>
      <c r="CG66" s="297"/>
      <c r="CH66" s="297"/>
    </row>
    <row r="67" spans="1:86" ht="12.75" customHeight="1" x14ac:dyDescent="0.2">
      <c r="A67" s="355" t="s">
        <v>228</v>
      </c>
      <c r="B67" s="362">
        <f t="shared" si="1"/>
        <v>1E-3</v>
      </c>
      <c r="N67" s="277"/>
      <c r="BB67" s="369" t="s">
        <v>435</v>
      </c>
      <c r="BC67" s="344" t="s">
        <v>42</v>
      </c>
      <c r="BD67" s="344" t="s">
        <v>713</v>
      </c>
      <c r="BE67" s="370">
        <v>4.8</v>
      </c>
      <c r="BF67" s="370">
        <v>4</v>
      </c>
      <c r="BG67" s="370">
        <v>4</v>
      </c>
      <c r="BH67" s="370">
        <v>4</v>
      </c>
      <c r="BI67" s="370">
        <v>2</v>
      </c>
      <c r="BJ67" s="370">
        <v>1.2</v>
      </c>
      <c r="BK67" s="371">
        <v>0</v>
      </c>
      <c r="BL67" s="305"/>
      <c r="BM67" s="332" t="s">
        <v>733</v>
      </c>
      <c r="BN67" s="332">
        <f t="array" ref="BN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36 et plus],MATCH(ChoixRationBisons&amp;$BM67,Règles_bison[Ration]&amp;Règles_bison[Aliment],0)),0),0)*TotalBisonsMalesAdultes*NbreJoursNourrirBisonsDaims)</f>
        <v>0</v>
      </c>
      <c r="BO67" s="332">
        <f t="array" ref="BO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24-36],MATCH(ChoixRationBisons&amp;$BM67,Règles_bison[Ration]&amp;Règles_bison[Aliment],0)),0),0)*TotalBisonsMales_24_36_mois*NbreJoursNourrirBisonsDaims)</f>
        <v>0</v>
      </c>
      <c r="BP67" s="332">
        <f t="array" ref="BP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18-24],MATCH(ChoixRationBisons&amp;$BM67,Règles_bison[Ration]&amp;Règles_bison[Aliment],0)),0),0)*TotalBisonsMales_18_24_mois*NbreJoursNourrirBisonsDaims)</f>
        <v>0</v>
      </c>
      <c r="BQ67" s="332">
        <f t="array" ref="BQ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12-18],MATCH(ChoixRationBisons&amp;$BM67,Règles_bison[Ration]&amp;Règles_bison[Aliment],0)),0),0)*TotalBisonsMales_12_18_mois*NbreJoursNourrirBisonsDaims)</f>
        <v>0</v>
      </c>
      <c r="BR67" s="332">
        <f t="array" ref="BR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6-12],MATCH(ChoixRationBisons&amp;$BM67,Règles_bison[Ration]&amp;Règles_bison[Aliment],0)),0),0)*TotalBisonsMales_6_12_mois*NbreJoursNourrirBisonsDaims)</f>
        <v>0</v>
      </c>
      <c r="BS67" s="332">
        <f t="array" ref="BS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3-6],MATCH(ChoixRationBisons&amp;$BM67,Règles_bison[Ration]&amp;Règles_bison[Aliment],0)),0),0)*TotalBisonsMales_3_6_mois*NbreJoursNourrirBisonsDaims)</f>
        <v>0</v>
      </c>
      <c r="BT67" s="332">
        <f t="array" ref="BT67">IF(Ration_hivernale_complète_bisons[somme]&gt;0,0,IFERROR(IF(OR(AND(INDEX(Règles_bison[Specificite],MATCH(ChoixRationBisons&amp;$BM67,Règles_bison[Ration]&amp;Règles_bison[Aliment],0))="s1",IF($BM67=ChoixSpécificité1Bisons,1)),
INDEX(Règles_bison[Specificite],MATCH(ChoixRationBisons&amp;$BM67,Règles_bison[Ration]&amp;Règles_bison[Aliment],0))="c"),
INDEX(Règles_bison[Valeur 0-3],MATCH(ChoixRationBisons&amp;$BM67,Règles_bison[Ration]&amp;Règles_bison[Aliment],0)),0),0)*TotalBisonsMales_0_3_mois*NbreJoursNourrirBisonsDaims)</f>
        <v>0</v>
      </c>
      <c r="BU67" s="338">
        <f t="shared" si="0"/>
        <v>0</v>
      </c>
      <c r="BX67" s="355" t="s">
        <v>124</v>
      </c>
      <c r="BY67" s="280" t="s">
        <v>383</v>
      </c>
      <c r="BZ67" s="280" t="s">
        <v>711</v>
      </c>
      <c r="CA67" s="280">
        <v>1.6</v>
      </c>
      <c r="CB67" s="280">
        <v>1.4</v>
      </c>
      <c r="CC67" s="280">
        <v>1.2</v>
      </c>
      <c r="CD67" s="392">
        <v>1</v>
      </c>
      <c r="CE67" s="297"/>
      <c r="CF67" s="297"/>
      <c r="CG67" s="297"/>
      <c r="CH67" s="297"/>
    </row>
    <row r="68" spans="1:86" ht="12.75" customHeight="1" x14ac:dyDescent="0.2">
      <c r="A68" s="355" t="s">
        <v>172</v>
      </c>
      <c r="B68" s="362">
        <f t="shared" si="1"/>
        <v>1E-3</v>
      </c>
      <c r="F68" s="283" t="s">
        <v>517</v>
      </c>
      <c r="N68" s="277"/>
      <c r="O68" s="283" t="s">
        <v>614</v>
      </c>
      <c r="P68" s="283" t="str">
        <f t="shared" ref="P68:U68" si="4">P64</f>
        <v>Blé</v>
      </c>
      <c r="Q68" s="283" t="str">
        <f t="shared" si="4"/>
        <v>Orge</v>
      </c>
      <c r="R68" s="283" t="str">
        <f t="shared" si="4"/>
        <v>Orge de printemps</v>
      </c>
      <c r="S68" s="283" t="str">
        <f t="shared" si="4"/>
        <v>Avoine</v>
      </c>
      <c r="T68" s="283" t="str">
        <f t="shared" si="4"/>
        <v>Avoine de printemps</v>
      </c>
      <c r="U68" s="283" t="str">
        <f t="shared" si="4"/>
        <v>Triticale</v>
      </c>
      <c r="V68" s="283"/>
      <c r="W68" s="283" t="str">
        <f t="shared" ref="W68:AG68" si="5">W64</f>
        <v>Maïs grain</v>
      </c>
      <c r="X68" s="283" t="str">
        <f t="shared" si="5"/>
        <v>Maïs ensilé</v>
      </c>
      <c r="Y68" s="283" t="str">
        <f t="shared" si="5"/>
        <v>Betterave</v>
      </c>
      <c r="Z68" s="283" t="str">
        <f t="shared" si="5"/>
        <v>Colza</v>
      </c>
      <c r="AA68" s="283" t="str">
        <f t="shared" si="5"/>
        <v>Tournesol</v>
      </c>
      <c r="AB68" s="283" t="str">
        <f t="shared" si="5"/>
        <v>Pois</v>
      </c>
      <c r="AC68" s="283" t="str">
        <f t="shared" si="5"/>
        <v>Féverole</v>
      </c>
      <c r="AD68" s="283" t="str">
        <f t="shared" si="5"/>
        <v>Soja</v>
      </c>
      <c r="AE68" s="283" t="str">
        <f t="shared" si="5"/>
        <v>Lin</v>
      </c>
      <c r="AF68" s="283" t="str">
        <f t="shared" si="5"/>
        <v>Pomme de terre</v>
      </c>
      <c r="AG68" s="457" t="str">
        <f t="shared" si="5"/>
        <v>Chanvre Industriel</v>
      </c>
      <c r="AH68" s="457"/>
      <c r="AI68" s="283" t="str">
        <f>AI64</f>
        <v>Epinard</v>
      </c>
      <c r="AJ68" s="283" t="str">
        <f>AJ64</f>
        <v>Haricot vert</v>
      </c>
      <c r="AK68" s="283" t="str">
        <f>AK64</f>
        <v>Lentille</v>
      </c>
      <c r="AL68" s="283" t="str">
        <f>AL64</f>
        <v>Sorgho ensilé</v>
      </c>
      <c r="AM68" s="283"/>
      <c r="AN68" s="283" t="str">
        <f>AN64</f>
        <v>Tabac</v>
      </c>
      <c r="AO68" s="292" t="s">
        <v>808</v>
      </c>
      <c r="AP68" s="292" t="s">
        <v>809</v>
      </c>
      <c r="AQ68" s="292" t="s">
        <v>810</v>
      </c>
      <c r="AR68" s="292" t="s">
        <v>811</v>
      </c>
      <c r="AS68" s="292" t="s">
        <v>812</v>
      </c>
      <c r="AT68" s="292" t="s">
        <v>813</v>
      </c>
      <c r="AU68" s="292" t="s">
        <v>816</v>
      </c>
      <c r="AV68" s="292" t="s">
        <v>817</v>
      </c>
      <c r="AW68" s="292" t="s">
        <v>818</v>
      </c>
      <c r="AX68" s="292" t="s">
        <v>819</v>
      </c>
      <c r="AY68" s="292" t="s">
        <v>820</v>
      </c>
      <c r="BB68" s="369" t="s">
        <v>435</v>
      </c>
      <c r="BC68" s="344" t="s">
        <v>730</v>
      </c>
      <c r="BD68" s="344" t="s">
        <v>711</v>
      </c>
      <c r="BE68" s="370">
        <v>1</v>
      </c>
      <c r="BF68" s="370">
        <v>0.8</v>
      </c>
      <c r="BG68" s="370">
        <v>0.6</v>
      </c>
      <c r="BH68" s="370">
        <v>0.4</v>
      </c>
      <c r="BI68" s="370">
        <v>0.4</v>
      </c>
      <c r="BJ68" s="370">
        <v>0.4</v>
      </c>
      <c r="BK68" s="371">
        <v>0</v>
      </c>
      <c r="BL68" s="305"/>
      <c r="BM68" s="332" t="s">
        <v>47</v>
      </c>
      <c r="BN68" s="332">
        <f t="array" ref="BN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36 et plus],MATCH(ChoixRationBisons&amp;$BM68,Règles_bison[Ration]&amp;Règles_bison[Aliment],0)),0),0)*TotalBisonsMalesAdultes*NbreJoursNourrirBisonsDaims)</f>
        <v>0</v>
      </c>
      <c r="BO68" s="332">
        <f t="array" ref="BO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24-36],MATCH(ChoixRationBisons&amp;$BM68,Règles_bison[Ration]&amp;Règles_bison[Aliment],0)),0),0)*TotalBisonsMales_24_36_mois*NbreJoursNourrirBisonsDaims)</f>
        <v>0</v>
      </c>
      <c r="BP68" s="332">
        <f t="array" ref="BP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18-24],MATCH(ChoixRationBisons&amp;$BM68,Règles_bison[Ration]&amp;Règles_bison[Aliment],0)),0),0)*TotalBisonsMales_18_24_mois*NbreJoursNourrirBisonsDaims)</f>
        <v>0</v>
      </c>
      <c r="BQ68" s="332">
        <f t="array" ref="BQ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12-18],MATCH(ChoixRationBisons&amp;$BM68,Règles_bison[Ration]&amp;Règles_bison[Aliment],0)),0),0)*TotalBisonsMales_12_18_mois*NbreJoursNourrirBisonsDaims)</f>
        <v>0</v>
      </c>
      <c r="BR68" s="332">
        <f t="array" ref="BR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6-12],MATCH(ChoixRationBisons&amp;$BM68,Règles_bison[Ration]&amp;Règles_bison[Aliment],0)),0),0)*TotalBisonsMales_6_12_mois*NbreJoursNourrirBisonsDaims)</f>
        <v>0</v>
      </c>
      <c r="BS68" s="332">
        <f t="array" ref="BS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3-6],MATCH(ChoixRationBisons&amp;$BM68,Règles_bison[Ration]&amp;Règles_bison[Aliment],0)),0),0)*TotalBisonsMales_3_6_mois*NbreJoursNourrirBisonsDaims)</f>
        <v>0</v>
      </c>
      <c r="BT68" s="332">
        <f t="array" ref="BT68">IF(Ration_hivernale_complète_bisons[somme]&gt;0,0,IFERROR(IF(OR(AND(INDEX(Règles_bison[Specificite],MATCH(ChoixRationBisons&amp;$BM68,Règles_bison[Ration]&amp;Règles_bison[Aliment],0))="s1",IF($BM68=ChoixSpécificité1Bisons,1)),
INDEX(Règles_bison[Specificite],MATCH(ChoixRationBisons&amp;$BM68,Règles_bison[Ration]&amp;Règles_bison[Aliment],0))="c"),
INDEX(Règles_bison[Valeur 0-3],MATCH(ChoixRationBisons&amp;$BM68,Règles_bison[Ration]&amp;Règles_bison[Aliment],0)),0),0)*TotalBisonsMales_0_3_mois*NbreJoursNourrirBisonsDaims)</f>
        <v>0</v>
      </c>
      <c r="BU68" s="338">
        <f t="shared" si="0"/>
        <v>0</v>
      </c>
      <c r="BX68" s="355" t="s">
        <v>124</v>
      </c>
      <c r="BY68" s="280" t="s">
        <v>160</v>
      </c>
      <c r="BZ68" s="280" t="s">
        <v>712</v>
      </c>
      <c r="CA68" s="280">
        <v>1.6</v>
      </c>
      <c r="CB68" s="280">
        <v>1.4</v>
      </c>
      <c r="CC68" s="280">
        <v>1.2</v>
      </c>
      <c r="CD68" s="392">
        <v>1</v>
      </c>
      <c r="CE68" s="297"/>
      <c r="CF68" s="297"/>
      <c r="CG68" s="297"/>
      <c r="CH68" s="297"/>
    </row>
    <row r="69" spans="1:86" ht="12.75" customHeight="1" x14ac:dyDescent="0.2">
      <c r="A69" s="355" t="s">
        <v>128</v>
      </c>
      <c r="B69" s="362">
        <f t="shared" si="1"/>
        <v>1E-3</v>
      </c>
      <c r="F69" s="280" t="s">
        <v>518</v>
      </c>
      <c r="G69" s="280" t="s">
        <v>506</v>
      </c>
      <c r="H69" s="280" t="s">
        <v>507</v>
      </c>
      <c r="I69" s="280" t="s">
        <v>508</v>
      </c>
      <c r="J69" s="280" t="s">
        <v>509</v>
      </c>
      <c r="K69" s="280" t="s">
        <v>510</v>
      </c>
      <c r="L69" s="280" t="s">
        <v>511</v>
      </c>
      <c r="N69" s="277"/>
      <c r="O69" s="280" t="s">
        <v>233</v>
      </c>
      <c r="P69" s="280">
        <v>5.9</v>
      </c>
      <c r="Q69" s="280">
        <v>5.8</v>
      </c>
      <c r="R69" s="280">
        <v>5</v>
      </c>
      <c r="S69" s="280">
        <v>5.0999999999999996</v>
      </c>
      <c r="T69" s="280">
        <v>5</v>
      </c>
      <c r="U69" s="280">
        <v>5.7</v>
      </c>
      <c r="V69" s="280"/>
      <c r="W69" s="280">
        <v>8.8000000000000007</v>
      </c>
      <c r="X69" s="280">
        <v>15</v>
      </c>
      <c r="Y69" s="280">
        <v>63</v>
      </c>
      <c r="Z69" s="280">
        <v>3</v>
      </c>
      <c r="AA69" s="280">
        <v>2.8</v>
      </c>
      <c r="AB69" s="280">
        <v>4.4000000000000004</v>
      </c>
      <c r="AC69" s="280">
        <v>3.5</v>
      </c>
      <c r="AD69" s="280">
        <v>2.7</v>
      </c>
      <c r="AE69" s="280">
        <v>0</v>
      </c>
      <c r="AF69" s="280">
        <v>43</v>
      </c>
      <c r="AG69" s="280">
        <v>0.8</v>
      </c>
      <c r="AH69" s="280">
        <v>7</v>
      </c>
      <c r="AI69" s="280">
        <v>13</v>
      </c>
      <c r="AJ69" s="280">
        <v>0</v>
      </c>
      <c r="AK69" s="280">
        <v>0</v>
      </c>
      <c r="AL69" s="280">
        <v>0</v>
      </c>
      <c r="AM69" s="280"/>
      <c r="AN69" s="280">
        <v>2.1</v>
      </c>
      <c r="AO69" s="280">
        <v>38</v>
      </c>
      <c r="AP69" s="280">
        <v>24</v>
      </c>
      <c r="AQ69" s="280">
        <v>0</v>
      </c>
      <c r="AR69" s="280">
        <v>0</v>
      </c>
      <c r="AS69" s="280">
        <v>7</v>
      </c>
      <c r="AT69" s="280">
        <v>0</v>
      </c>
      <c r="AU69" s="280">
        <v>0</v>
      </c>
      <c r="AV69" s="280">
        <v>0</v>
      </c>
      <c r="AW69" s="280">
        <v>8.5</v>
      </c>
      <c r="AX69" s="280">
        <v>10</v>
      </c>
      <c r="AY69" s="280">
        <v>10</v>
      </c>
      <c r="BB69" s="369" t="s">
        <v>435</v>
      </c>
      <c r="BC69" s="344" t="s">
        <v>882</v>
      </c>
      <c r="BD69" s="344" t="s">
        <v>711</v>
      </c>
      <c r="BE69" s="370">
        <v>0</v>
      </c>
      <c r="BF69" s="370">
        <v>0</v>
      </c>
      <c r="BG69" s="370">
        <v>0</v>
      </c>
      <c r="BH69" s="370">
        <v>0</v>
      </c>
      <c r="BI69" s="370">
        <v>0</v>
      </c>
      <c r="BJ69" s="370">
        <v>0</v>
      </c>
      <c r="BK69" s="371">
        <v>8</v>
      </c>
      <c r="BL69" s="305"/>
      <c r="BM69" s="339"/>
      <c r="BN69" s="332">
        <f t="array" ref="BN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36 et plus],MATCH(ChoixRationBisons&amp;$BM69,Règles_bison[Ration]&amp;Règles_bison[Aliment],0)),0),0)*TotalBisonsMalesAdultes*NbreJoursNourrirBisonsDaims)</f>
        <v>0</v>
      </c>
      <c r="BO69" s="332">
        <f t="array" ref="BO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24-36],MATCH(ChoixRationBisons&amp;$BM69,Règles_bison[Ration]&amp;Règles_bison[Aliment],0)),0),0)*TotalBisonsMales_24_36_mois*NbreJoursNourrirBisonsDaims)</f>
        <v>0</v>
      </c>
      <c r="BP69" s="332">
        <f t="array" ref="BP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18-24],MATCH(ChoixRationBisons&amp;$BM69,Règles_bison[Ration]&amp;Règles_bison[Aliment],0)),0),0)*TotalBisonsMales_18_24_mois*NbreJoursNourrirBisonsDaims)</f>
        <v>0</v>
      </c>
      <c r="BQ69" s="332">
        <f t="array" ref="BQ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12-18],MATCH(ChoixRationBisons&amp;$BM69,Règles_bison[Ration]&amp;Règles_bison[Aliment],0)),0),0)*TotalBisonsMales_12_18_mois*NbreJoursNourrirBisonsDaims)</f>
        <v>0</v>
      </c>
      <c r="BR69" s="332">
        <f t="array" ref="BR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6-12],MATCH(ChoixRationBisons&amp;$BM69,Règles_bison[Ration]&amp;Règles_bison[Aliment],0)),0),0)*TotalBisonsMales_6_12_mois*NbreJoursNourrirBisonsDaims)</f>
        <v>0</v>
      </c>
      <c r="BS69" s="332">
        <f t="array" ref="BS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3-6],MATCH(ChoixRationBisons&amp;$BM69,Règles_bison[Ration]&amp;Règles_bison[Aliment],0)),0),0)*TotalBisonsMales_3_6_mois*NbreJoursNourrirBisonsDaims)</f>
        <v>0</v>
      </c>
      <c r="BT69" s="332">
        <f t="array" ref="BT69">IF(Ration_hivernale_complète_bisons[somme]&gt;0,0,IFERROR(IF(OR(AND(INDEX(Règles_bison[Specificite],MATCH(ChoixRationBisons&amp;$BM69,Règles_bison[Ration]&amp;Règles_bison[Aliment],0))="s1",IF($BM69=ChoixSpécificité1Bisons,1)),
INDEX(Règles_bison[Specificite],MATCH(ChoixRationBisons&amp;$BM69,Règles_bison[Ration]&amp;Règles_bison[Aliment],0))="c"),
INDEX(Règles_bison[Valeur 0-3],MATCH(ChoixRationBisons&amp;$BM69,Règles_bison[Ration]&amp;Règles_bison[Aliment],0)),0),0)*TotalBisonsMales_0_3_mois*NbreJoursNourrirBisonsDaims)</f>
        <v>0</v>
      </c>
      <c r="BU69" s="338">
        <f t="shared" si="0"/>
        <v>0</v>
      </c>
      <c r="BX69" s="355" t="s">
        <v>124</v>
      </c>
      <c r="BY69" s="280" t="s">
        <v>47</v>
      </c>
      <c r="BZ69" s="280" t="s">
        <v>712</v>
      </c>
      <c r="CA69" s="280">
        <v>1.6</v>
      </c>
      <c r="CB69" s="280">
        <v>1.4</v>
      </c>
      <c r="CC69" s="280">
        <v>1.2</v>
      </c>
      <c r="CD69" s="392">
        <v>1</v>
      </c>
      <c r="CE69" s="297"/>
      <c r="CF69" s="297"/>
      <c r="CG69" s="297"/>
      <c r="CH69" s="297"/>
    </row>
    <row r="70" spans="1:86" ht="12.75" customHeight="1" x14ac:dyDescent="0.2">
      <c r="A70" s="355" t="s">
        <v>131</v>
      </c>
      <c r="B70" s="362">
        <f t="shared" si="1"/>
        <v>1E-3</v>
      </c>
      <c r="F70" s="280" t="s">
        <v>519</v>
      </c>
      <c r="G70" s="280" t="s">
        <v>520</v>
      </c>
      <c r="H70" s="280">
        <v>65</v>
      </c>
      <c r="I70" s="280">
        <v>180</v>
      </c>
      <c r="J70" s="280">
        <v>75</v>
      </c>
      <c r="K70" s="280">
        <v>50</v>
      </c>
      <c r="L70" s="280">
        <v>70</v>
      </c>
      <c r="N70" s="277"/>
      <c r="O70" s="280" t="s">
        <v>615</v>
      </c>
      <c r="P70" s="280">
        <v>6</v>
      </c>
      <c r="Q70" s="280">
        <v>5.9</v>
      </c>
      <c r="R70" s="280">
        <v>5.2</v>
      </c>
      <c r="S70" s="280">
        <v>5.3</v>
      </c>
      <c r="T70" s="280">
        <v>5.0999999999999996</v>
      </c>
      <c r="U70" s="280">
        <v>6</v>
      </c>
      <c r="V70" s="280"/>
      <c r="W70" s="280">
        <v>9.1999999999999993</v>
      </c>
      <c r="X70" s="280">
        <v>15.5</v>
      </c>
      <c r="Y70" s="280">
        <v>66</v>
      </c>
      <c r="Z70" s="280">
        <v>3.2</v>
      </c>
      <c r="AA70" s="280">
        <v>3</v>
      </c>
      <c r="AB70" s="280">
        <v>4.5</v>
      </c>
      <c r="AC70" s="280">
        <v>3.6</v>
      </c>
      <c r="AD70" s="280">
        <v>2.8</v>
      </c>
      <c r="AE70" s="280">
        <v>0</v>
      </c>
      <c r="AF70" s="280">
        <v>45</v>
      </c>
      <c r="AG70" s="280">
        <v>0.8</v>
      </c>
      <c r="AH70" s="280">
        <v>7</v>
      </c>
      <c r="AI70" s="280">
        <v>13</v>
      </c>
      <c r="AJ70" s="280">
        <v>0</v>
      </c>
      <c r="AK70" s="280">
        <v>0</v>
      </c>
      <c r="AL70" s="280">
        <v>0</v>
      </c>
      <c r="AM70" s="280"/>
      <c r="AN70" s="280">
        <v>1.9</v>
      </c>
      <c r="AO70" s="280">
        <v>40</v>
      </c>
      <c r="AP70" s="280">
        <v>26</v>
      </c>
      <c r="AQ70" s="280">
        <v>0</v>
      </c>
      <c r="AR70" s="280">
        <v>0</v>
      </c>
      <c r="AS70" s="280">
        <v>7</v>
      </c>
      <c r="AT70" s="280">
        <v>0</v>
      </c>
      <c r="AU70" s="280">
        <v>0</v>
      </c>
      <c r="AV70" s="280">
        <v>0</v>
      </c>
      <c r="AW70" s="280">
        <v>8.5</v>
      </c>
      <c r="AX70" s="280">
        <v>10</v>
      </c>
      <c r="AY70" s="280">
        <v>10</v>
      </c>
      <c r="BB70" s="369" t="s">
        <v>435</v>
      </c>
      <c r="BC70" s="344" t="s">
        <v>444</v>
      </c>
      <c r="BD70" s="344" t="s">
        <v>711</v>
      </c>
      <c r="BE70" s="370">
        <v>200</v>
      </c>
      <c r="BF70" s="370">
        <v>100</v>
      </c>
      <c r="BG70" s="370">
        <v>80</v>
      </c>
      <c r="BH70" s="370">
        <v>60</v>
      </c>
      <c r="BI70" s="370">
        <v>40</v>
      </c>
      <c r="BJ70" s="370">
        <v>28</v>
      </c>
      <c r="BK70" s="371">
        <v>12</v>
      </c>
      <c r="BL70" s="305"/>
      <c r="BM70" s="306"/>
      <c r="BQ70" s="277"/>
      <c r="BU70" s="308"/>
      <c r="BX70" s="355" t="s">
        <v>124</v>
      </c>
      <c r="BY70" s="280" t="s">
        <v>730</v>
      </c>
      <c r="BZ70" s="280" t="s">
        <v>711</v>
      </c>
      <c r="CA70" s="280">
        <v>0.08</v>
      </c>
      <c r="CB70" s="280">
        <v>0.04</v>
      </c>
      <c r="CC70" s="280">
        <v>0.04</v>
      </c>
      <c r="CD70" s="392">
        <v>0.04</v>
      </c>
      <c r="CE70" s="297"/>
      <c r="CF70" s="297"/>
      <c r="CG70" s="297"/>
      <c r="CH70" s="297"/>
    </row>
    <row r="71" spans="1:86" ht="12.75" customHeight="1" x14ac:dyDescent="0.2">
      <c r="A71" s="355" t="s">
        <v>132</v>
      </c>
      <c r="B71" s="362">
        <f t="shared" si="1"/>
        <v>1E-3</v>
      </c>
      <c r="N71" s="277"/>
      <c r="O71" s="280" t="s">
        <v>125</v>
      </c>
      <c r="P71" s="280">
        <v>0</v>
      </c>
      <c r="Q71" s="280">
        <v>5.8</v>
      </c>
      <c r="R71" s="280">
        <v>5.0999999999999996</v>
      </c>
      <c r="S71" s="280">
        <v>0</v>
      </c>
      <c r="T71" s="280">
        <v>0</v>
      </c>
      <c r="U71" s="280">
        <v>5.8</v>
      </c>
      <c r="V71" s="280"/>
      <c r="W71" s="280">
        <v>9</v>
      </c>
      <c r="X71" s="280">
        <v>15</v>
      </c>
      <c r="Y71" s="280">
        <v>0</v>
      </c>
      <c r="Z71" s="280">
        <v>0</v>
      </c>
      <c r="AA71" s="280">
        <v>0</v>
      </c>
      <c r="AB71" s="280">
        <v>4.5</v>
      </c>
      <c r="AC71" s="280">
        <v>3.5</v>
      </c>
      <c r="AD71" s="280">
        <v>2.7</v>
      </c>
      <c r="AE71" s="280">
        <v>0</v>
      </c>
      <c r="AF71" s="280">
        <v>44</v>
      </c>
      <c r="AG71" s="280">
        <v>0.8</v>
      </c>
      <c r="AH71" s="280">
        <v>7</v>
      </c>
      <c r="AI71" s="280">
        <v>13</v>
      </c>
      <c r="AJ71" s="280">
        <v>0</v>
      </c>
      <c r="AK71" s="280">
        <v>0</v>
      </c>
      <c r="AL71" s="280">
        <v>0</v>
      </c>
      <c r="AM71" s="280"/>
      <c r="AN71" s="280">
        <v>0</v>
      </c>
      <c r="AO71" s="280">
        <v>0</v>
      </c>
      <c r="AP71" s="280">
        <v>0</v>
      </c>
      <c r="AQ71" s="280">
        <v>0</v>
      </c>
      <c r="AR71" s="280">
        <v>0</v>
      </c>
      <c r="AS71" s="280">
        <v>7</v>
      </c>
      <c r="AT71" s="280">
        <v>0</v>
      </c>
      <c r="AU71" s="280">
        <v>0</v>
      </c>
      <c r="AV71" s="280">
        <v>0</v>
      </c>
      <c r="AW71" s="280">
        <v>8.5</v>
      </c>
      <c r="AX71" s="280">
        <v>10</v>
      </c>
      <c r="AY71" s="280">
        <v>10</v>
      </c>
      <c r="BB71" s="369" t="s">
        <v>437</v>
      </c>
      <c r="BC71" s="344" t="s">
        <v>434</v>
      </c>
      <c r="BD71" s="344" t="s">
        <v>735</v>
      </c>
      <c r="BE71" s="370">
        <v>137</v>
      </c>
      <c r="BF71" s="370">
        <v>117</v>
      </c>
      <c r="BG71" s="370">
        <v>91</v>
      </c>
      <c r="BH71" s="370">
        <v>69</v>
      </c>
      <c r="BI71" s="370">
        <v>47</v>
      </c>
      <c r="BJ71" s="370">
        <v>23</v>
      </c>
      <c r="BK71" s="371">
        <v>0</v>
      </c>
      <c r="BL71" s="305"/>
      <c r="BM71" s="324" t="s">
        <v>875</v>
      </c>
      <c r="BN71" s="229"/>
      <c r="BO71" s="229"/>
      <c r="BP71" s="229"/>
      <c r="BQ71" s="325"/>
      <c r="BR71" s="229"/>
      <c r="BS71" s="229"/>
      <c r="BT71" s="229"/>
      <c r="BU71" s="229"/>
      <c r="BX71" s="355" t="s">
        <v>124</v>
      </c>
      <c r="BY71" s="280" t="s">
        <v>444</v>
      </c>
      <c r="BZ71" s="280" t="s">
        <v>711</v>
      </c>
      <c r="CA71" s="280">
        <v>20</v>
      </c>
      <c r="CB71" s="280">
        <v>12</v>
      </c>
      <c r="CC71" s="280">
        <v>8</v>
      </c>
      <c r="CD71" s="392">
        <v>4</v>
      </c>
      <c r="CE71" s="297"/>
      <c r="CF71" s="297"/>
      <c r="CG71" s="297"/>
      <c r="CH71" s="297"/>
    </row>
    <row r="72" spans="1:86" ht="12.75" customHeight="1" x14ac:dyDescent="0.2">
      <c r="A72" s="355" t="s">
        <v>133</v>
      </c>
      <c r="B72" s="362">
        <f t="shared" si="1"/>
        <v>1E-3</v>
      </c>
      <c r="F72" s="283" t="s">
        <v>521</v>
      </c>
      <c r="N72" s="277"/>
      <c r="BB72" s="369" t="s">
        <v>437</v>
      </c>
      <c r="BC72" s="344" t="s">
        <v>436</v>
      </c>
      <c r="BD72" s="344" t="s">
        <v>711</v>
      </c>
      <c r="BE72" s="370">
        <v>28</v>
      </c>
      <c r="BF72" s="370">
        <v>24</v>
      </c>
      <c r="BG72" s="370">
        <v>20</v>
      </c>
      <c r="BH72" s="370">
        <v>16</v>
      </c>
      <c r="BI72" s="370">
        <v>8</v>
      </c>
      <c r="BJ72" s="370">
        <v>4</v>
      </c>
      <c r="BK72" s="371">
        <v>0</v>
      </c>
      <c r="BL72" s="305"/>
      <c r="BM72" s="336" t="s">
        <v>734</v>
      </c>
      <c r="BN72" s="331" t="s">
        <v>720</v>
      </c>
      <c r="BO72" s="331" t="s">
        <v>719</v>
      </c>
      <c r="BP72" s="331" t="s">
        <v>718</v>
      </c>
      <c r="BQ72" s="331" t="s">
        <v>717</v>
      </c>
      <c r="BR72" s="331" t="s">
        <v>716</v>
      </c>
      <c r="BS72" s="331" t="s">
        <v>715</v>
      </c>
      <c r="BT72" s="337" t="s">
        <v>714</v>
      </c>
      <c r="BU72" s="331" t="s">
        <v>728</v>
      </c>
      <c r="BX72" s="355" t="s">
        <v>440</v>
      </c>
      <c r="BY72" s="280" t="s">
        <v>434</v>
      </c>
      <c r="BZ72" s="280" t="s">
        <v>735</v>
      </c>
      <c r="CA72" s="280">
        <v>0</v>
      </c>
      <c r="CB72" s="280">
        <v>0</v>
      </c>
      <c r="CC72" s="280">
        <v>0</v>
      </c>
      <c r="CD72" s="392">
        <v>3</v>
      </c>
      <c r="CE72" s="297"/>
      <c r="CF72" s="297"/>
      <c r="CG72" s="297"/>
      <c r="CH72" s="297"/>
    </row>
    <row r="73" spans="1:86" ht="12.75" customHeight="1" x14ac:dyDescent="0.2">
      <c r="A73" s="355" t="s">
        <v>97</v>
      </c>
      <c r="B73" s="362">
        <f t="shared" si="1"/>
        <v>1E-3</v>
      </c>
      <c r="F73" s="280" t="s">
        <v>518</v>
      </c>
      <c r="G73" s="280" t="s">
        <v>506</v>
      </c>
      <c r="H73" s="280" t="s">
        <v>507</v>
      </c>
      <c r="I73" s="280" t="s">
        <v>508</v>
      </c>
      <c r="J73" s="280" t="s">
        <v>509</v>
      </c>
      <c r="K73" s="280" t="s">
        <v>510</v>
      </c>
      <c r="L73" s="280" t="s">
        <v>511</v>
      </c>
      <c r="AZ73" s="277"/>
      <c r="BA73" s="277"/>
      <c r="BB73" s="369" t="s">
        <v>437</v>
      </c>
      <c r="BC73" s="344" t="s">
        <v>190</v>
      </c>
      <c r="BD73" s="344" t="s">
        <v>711</v>
      </c>
      <c r="BE73" s="370">
        <v>96</v>
      </c>
      <c r="BF73" s="370">
        <v>80</v>
      </c>
      <c r="BG73" s="370">
        <v>60</v>
      </c>
      <c r="BH73" s="370">
        <v>44</v>
      </c>
      <c r="BI73" s="370">
        <v>28</v>
      </c>
      <c r="BJ73" s="370">
        <v>12</v>
      </c>
      <c r="BK73" s="371">
        <v>0</v>
      </c>
      <c r="BL73" s="305"/>
      <c r="BM73" s="332" t="str">
        <f>BM36</f>
        <v>Avoine</v>
      </c>
      <c r="BN73" s="332">
        <f t="array" ref="BN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36 et plus],MATCH(ChoixRationBisons&amp;$BM73,Règles_bison[Ration]&amp;Règles_bison[Aliment],0)),0),0)*TotalBisonnes*NbreJoursNourrirBisonsDaims)</f>
        <v>0</v>
      </c>
      <c r="BO73" s="332">
        <f t="array" ref="BO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24-36],MATCH(ChoixRationBisons&amp;$BM73,Règles_bison[Ration]&amp;Règles_bison[Aliment],0)),0),0)*TotalBisonsFemelles_24_36_mois*NbreJoursNourrirBisonsDaims)</f>
        <v>0</v>
      </c>
      <c r="BP73" s="332">
        <f t="array" ref="BP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18-24],MATCH(ChoixRationBisons&amp;$BM73,Règles_bison[Ration]&amp;Règles_bison[Aliment],0)),0),0)*TotalBisonsFemelles_18_24_mois*NbreJoursNourrirBisonsDaims)</f>
        <v>0</v>
      </c>
      <c r="BQ73" s="332">
        <f t="array" ref="BQ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12-18],MATCH(ChoixRationBisons&amp;$BM73,Règles_bison[Ration]&amp;Règles_bison[Aliment],0)),0),0)*TotalBisonsFemelles_12_18_mois*NbreJoursNourrirBisonsDaims)</f>
        <v>0</v>
      </c>
      <c r="BR73" s="332">
        <f t="array" ref="BR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6-12],MATCH(ChoixRationBisons&amp;$BM73,Règles_bison[Ration]&amp;Règles_bison[Aliment],0)),0),0)*TotalBisonsFemelles_6_12_mois*NbreJoursNourrirBisonsDaims)</f>
        <v>0</v>
      </c>
      <c r="BS73" s="332">
        <f t="array" ref="BS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3-6],MATCH(ChoixRationBisons&amp;$BM73,Règles_bison[Ration]&amp;Règles_bison[Aliment],0)),0),0)*TotalBisonsFemelles_3_6_mois*NbreJoursNourrirBisonsDaims)</f>
        <v>0</v>
      </c>
      <c r="BT73" s="332">
        <f t="array" ref="BT73">IF(Ration_hivernale_complète_bisons[somme]&gt;0,0,IFERROR(IF(OR(AND(INDEX(Règles_bison[Specificite],MATCH(ChoixRationBisons&amp;$BM73,Règles_bison[Ration]&amp;Règles_bison[Aliment],0))="s1",IF($BM73=ChoixSpécificité1Bisons,1)),
INDEX(Règles_bison[Specificite],MATCH(ChoixRationBisons&amp;$BM73,Règles_bison[Ration]&amp;Règles_bison[Aliment],0))="c"),
INDEX(Règles_bison[Valeur 0-3],MATCH(ChoixRationBisons&amp;$BM73,Règles_bison[Ration]&amp;Règles_bison[Aliment],0)),0),0)*TotalBisonsFemelles_0_3_mois*NbreJoursNourrirBisonsDaims)</f>
        <v>0</v>
      </c>
      <c r="BU73" s="332">
        <f t="shared" ref="BU73:BU106" si="6">SUM($BN73:$BT73)</f>
        <v>0</v>
      </c>
      <c r="BX73" s="355" t="s">
        <v>440</v>
      </c>
      <c r="BY73" s="280" t="s">
        <v>124</v>
      </c>
      <c r="BZ73" s="280" t="s">
        <v>711</v>
      </c>
      <c r="CA73" s="280">
        <v>1.2</v>
      </c>
      <c r="CB73" s="280">
        <v>1.2</v>
      </c>
      <c r="CC73" s="280">
        <v>0.8</v>
      </c>
      <c r="CD73" s="392">
        <v>2.8</v>
      </c>
      <c r="CE73" s="297"/>
      <c r="CF73" s="297"/>
      <c r="CG73" s="297"/>
      <c r="CH73" s="297"/>
    </row>
    <row r="74" spans="1:86" ht="12.75" customHeight="1" x14ac:dyDescent="0.2">
      <c r="A74" s="355" t="s">
        <v>222</v>
      </c>
      <c r="B74" s="362">
        <f t="shared" si="1"/>
        <v>1E-3</v>
      </c>
      <c r="F74" s="280" t="s">
        <v>522</v>
      </c>
      <c r="G74" s="280">
        <v>75</v>
      </c>
      <c r="H74" s="280">
        <v>60</v>
      </c>
      <c r="I74" s="280">
        <v>45</v>
      </c>
      <c r="J74" s="280">
        <v>45</v>
      </c>
      <c r="K74" s="280">
        <v>15</v>
      </c>
      <c r="L74" s="280">
        <v>35</v>
      </c>
      <c r="Y74" s="229" t="s">
        <v>821</v>
      </c>
      <c r="Z74" s="229"/>
      <c r="AA74" s="229"/>
      <c r="AB74" s="229"/>
      <c r="AC74" s="229"/>
      <c r="AD74" s="229"/>
      <c r="AE74" s="229"/>
      <c r="AF74" s="229"/>
      <c r="AG74" s="229"/>
      <c r="AZ74" s="277"/>
      <c r="BA74" s="277"/>
      <c r="BB74" s="369" t="s">
        <v>437</v>
      </c>
      <c r="BC74" s="344" t="s">
        <v>383</v>
      </c>
      <c r="BD74" s="344" t="s">
        <v>712</v>
      </c>
      <c r="BE74" s="370">
        <v>7.2</v>
      </c>
      <c r="BF74" s="370">
        <v>6</v>
      </c>
      <c r="BG74" s="370">
        <v>4</v>
      </c>
      <c r="BH74" s="370">
        <v>2</v>
      </c>
      <c r="BI74" s="370">
        <v>1.2</v>
      </c>
      <c r="BJ74" s="370">
        <v>0.6</v>
      </c>
      <c r="BK74" s="371">
        <v>0</v>
      </c>
      <c r="BL74" s="305"/>
      <c r="BM74" s="332" t="str">
        <f t="shared" ref="BM74:BM106" si="7">BM37</f>
        <v>Betterave</v>
      </c>
      <c r="BN74" s="332">
        <f t="array" ref="BN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36 et plus],MATCH(ChoixRationBisons&amp;$BM74,Règles_bison[Ration]&amp;Règles_bison[Aliment],0)),0),0)*TotalBisonnes*NbreJoursNourrirBisonsDaims)</f>
        <v>0</v>
      </c>
      <c r="BO74" s="332">
        <f t="array" ref="BO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24-36],MATCH(ChoixRationBisons&amp;$BM74,Règles_bison[Ration]&amp;Règles_bison[Aliment],0)),0),0)*TotalBisonsFemelles_24_36_mois*NbreJoursNourrirBisonsDaims)</f>
        <v>0</v>
      </c>
      <c r="BP74" s="332">
        <f t="array" ref="BP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18-24],MATCH(ChoixRationBisons&amp;$BM74,Règles_bison[Ration]&amp;Règles_bison[Aliment],0)),0),0)*TotalBisonsFemelles_18_24_mois*NbreJoursNourrirBisonsDaims)</f>
        <v>0</v>
      </c>
      <c r="BQ74" s="332">
        <f t="array" ref="BQ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12-18],MATCH(ChoixRationBisons&amp;$BM74,Règles_bison[Ration]&amp;Règles_bison[Aliment],0)),0),0)*TotalBisonsFemelles_12_18_mois*NbreJoursNourrirBisonsDaims)</f>
        <v>0</v>
      </c>
      <c r="BR74" s="332">
        <f t="array" ref="BR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6-12],MATCH(ChoixRationBisons&amp;$BM74,Règles_bison[Ration]&amp;Règles_bison[Aliment],0)),0),0)*TotalBisonsFemelles_6_12_mois*NbreJoursNourrirBisonsDaims)</f>
        <v>0</v>
      </c>
      <c r="BS74" s="332">
        <f t="array" ref="BS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3-6],MATCH(ChoixRationBisons&amp;$BM74,Règles_bison[Ration]&amp;Règles_bison[Aliment],0)),0),0)*TotalBisonsFemelles_3_6_mois*NbreJoursNourrirBisonsDaims)</f>
        <v>0</v>
      </c>
      <c r="BT74" s="332">
        <f t="array" ref="BT74">IF(Ration_hivernale_complète_bisons[somme]&gt;0,0,IFERROR(IF(OR(AND(INDEX(Règles_bison[Specificite],MATCH(ChoixRationBisons&amp;$BM74,Règles_bison[Ration]&amp;Règles_bison[Aliment],0))="s1",IF($BM74=ChoixSpécificité1Bisons,1)),
INDEX(Règles_bison[Specificite],MATCH(ChoixRationBisons&amp;$BM74,Règles_bison[Ration]&amp;Règles_bison[Aliment],0))="c"),
INDEX(Règles_bison[Valeur 0-3],MATCH(ChoixRationBisons&amp;$BM74,Règles_bison[Ration]&amp;Règles_bison[Aliment],0)),0),0)*TotalBisonsFemelles_0_3_mois*NbreJoursNourrirBisonsDaims)</f>
        <v>0</v>
      </c>
      <c r="BU74" s="332">
        <f t="shared" si="6"/>
        <v>0</v>
      </c>
      <c r="BX74" s="355" t="s">
        <v>440</v>
      </c>
      <c r="BY74" s="280" t="s">
        <v>190</v>
      </c>
      <c r="BZ74" s="280" t="s">
        <v>711</v>
      </c>
      <c r="CA74" s="280">
        <v>10</v>
      </c>
      <c r="CB74" s="280">
        <v>8</v>
      </c>
      <c r="CC74" s="280">
        <v>6</v>
      </c>
      <c r="CD74" s="392">
        <v>0</v>
      </c>
      <c r="CE74" s="297"/>
      <c r="CF74" s="297"/>
      <c r="CG74" s="297"/>
      <c r="CH74" s="297"/>
    </row>
    <row r="75" spans="1:86" ht="12.75" customHeight="1" x14ac:dyDescent="0.2">
      <c r="A75" s="355" t="s">
        <v>291</v>
      </c>
      <c r="B75" s="362">
        <f t="shared" si="1"/>
        <v>1E-3</v>
      </c>
      <c r="F75" s="277"/>
      <c r="G75" s="277"/>
      <c r="H75" s="277"/>
      <c r="I75" s="277"/>
      <c r="J75" s="277"/>
      <c r="K75" s="277"/>
      <c r="L75" s="277"/>
      <c r="P75" s="288"/>
      <c r="Q75" s="288"/>
      <c r="R75" s="288"/>
      <c r="S75" s="288"/>
      <c r="T75" s="288"/>
      <c r="U75" s="288"/>
      <c r="V75" s="288"/>
      <c r="W75" s="288"/>
      <c r="Y75" s="367"/>
      <c r="Z75" s="367" t="s">
        <v>860</v>
      </c>
      <c r="AA75" s="367" t="s">
        <v>65</v>
      </c>
      <c r="AB75" s="367" t="s">
        <v>370</v>
      </c>
      <c r="AC75" s="367" t="s">
        <v>66</v>
      </c>
      <c r="AD75" s="367" t="s">
        <v>67</v>
      </c>
      <c r="AE75" s="367" t="s">
        <v>814</v>
      </c>
      <c r="AF75" s="367" t="s">
        <v>815</v>
      </c>
      <c r="AG75" s="367" t="s">
        <v>7</v>
      </c>
      <c r="BB75" s="369" t="s">
        <v>437</v>
      </c>
      <c r="BC75" s="344" t="s">
        <v>160</v>
      </c>
      <c r="BD75" s="344" t="s">
        <v>712</v>
      </c>
      <c r="BE75" s="370">
        <v>7.2</v>
      </c>
      <c r="BF75" s="370">
        <v>6</v>
      </c>
      <c r="BG75" s="370">
        <v>4</v>
      </c>
      <c r="BH75" s="370">
        <v>2</v>
      </c>
      <c r="BI75" s="370">
        <v>1.2</v>
      </c>
      <c r="BJ75" s="370">
        <v>0.6</v>
      </c>
      <c r="BK75" s="371">
        <v>0</v>
      </c>
      <c r="BL75" s="305"/>
      <c r="BM75" s="332" t="str">
        <f t="shared" si="7"/>
        <v>Blé</v>
      </c>
      <c r="BN75" s="332">
        <f t="array" ref="BN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36 et plus],MATCH(ChoixRationBisons&amp;$BM75,Règles_bison[Ration]&amp;Règles_bison[Aliment],0)),0),0)*TotalBisonnes*NbreJoursNourrirBisonsDaims)</f>
        <v>0</v>
      </c>
      <c r="BO75" s="332">
        <f t="array" ref="BO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24-36],MATCH(ChoixRationBisons&amp;$BM75,Règles_bison[Ration]&amp;Règles_bison[Aliment],0)),0),0)*TotalBisonsFemelles_24_36_mois*NbreJoursNourrirBisonsDaims)</f>
        <v>0</v>
      </c>
      <c r="BP75" s="332">
        <f t="array" ref="BP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18-24],MATCH(ChoixRationBisons&amp;$BM75,Règles_bison[Ration]&amp;Règles_bison[Aliment],0)),0),0)*TotalBisonsFemelles_18_24_mois*NbreJoursNourrirBisonsDaims)</f>
        <v>0</v>
      </c>
      <c r="BQ75" s="332">
        <f t="array" ref="BQ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12-18],MATCH(ChoixRationBisons&amp;$BM75,Règles_bison[Ration]&amp;Règles_bison[Aliment],0)),0),0)*TotalBisonsFemelles_12_18_mois*NbreJoursNourrirBisonsDaims)</f>
        <v>0</v>
      </c>
      <c r="BR75" s="332">
        <f t="array" ref="BR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6-12],MATCH(ChoixRationBisons&amp;$BM75,Règles_bison[Ration]&amp;Règles_bison[Aliment],0)),0),0)*TotalBisonsFemelles_6_12_mois*NbreJoursNourrirBisonsDaims)</f>
        <v>0</v>
      </c>
      <c r="BS75" s="332">
        <f t="array" ref="BS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3-6],MATCH(ChoixRationBisons&amp;$BM75,Règles_bison[Ration]&amp;Règles_bison[Aliment],0)),0),0)*TotalBisonsFemelles_3_6_mois*NbreJoursNourrirBisonsDaims)</f>
        <v>0</v>
      </c>
      <c r="BT75" s="332">
        <f t="array" ref="BT75">IF(Ration_hivernale_complète_bisons[somme]&gt;0,0,IFERROR(IF(OR(AND(INDEX(Règles_bison[Specificite],MATCH(ChoixRationBisons&amp;$BM75,Règles_bison[Ration]&amp;Règles_bison[Aliment],0))="s1",IF($BM75=ChoixSpécificité1Bisons,1)),
INDEX(Règles_bison[Specificite],MATCH(ChoixRationBisons&amp;$BM75,Règles_bison[Ration]&amp;Règles_bison[Aliment],0))="c"),
INDEX(Règles_bison[Valeur 0-3],MATCH(ChoixRationBisons&amp;$BM75,Règles_bison[Ration]&amp;Règles_bison[Aliment],0)),0),0)*TotalBisonsFemelles_0_3_mois*NbreJoursNourrirBisonsDaims)</f>
        <v>0</v>
      </c>
      <c r="BU75" s="332">
        <f t="shared" si="6"/>
        <v>0</v>
      </c>
      <c r="BX75" s="355" t="s">
        <v>440</v>
      </c>
      <c r="BY75" s="280" t="s">
        <v>475</v>
      </c>
      <c r="BZ75" s="280" t="s">
        <v>711</v>
      </c>
      <c r="CA75" s="280">
        <v>6</v>
      </c>
      <c r="CB75" s="280">
        <v>4</v>
      </c>
      <c r="CC75" s="280">
        <v>2</v>
      </c>
      <c r="CD75" s="392">
        <v>0</v>
      </c>
      <c r="CE75" s="297"/>
      <c r="CF75" s="297"/>
      <c r="CG75" s="297"/>
      <c r="CH75" s="297"/>
    </row>
    <row r="76" spans="1:86" ht="12.75" customHeight="1" x14ac:dyDescent="0.2">
      <c r="A76" s="355" t="s">
        <v>209</v>
      </c>
      <c r="B76" s="362">
        <f t="shared" si="1"/>
        <v>1E-3</v>
      </c>
      <c r="F76" s="283" t="s">
        <v>631</v>
      </c>
      <c r="P76" s="288"/>
      <c r="Q76" s="288"/>
      <c r="R76" s="288"/>
      <c r="S76" s="288"/>
      <c r="T76" s="288"/>
      <c r="U76" s="288"/>
      <c r="V76" s="288"/>
      <c r="W76" s="288"/>
      <c r="Y76" s="367" t="s">
        <v>836</v>
      </c>
      <c r="Z76" s="367">
        <f>IF('coût alimentation'!$B$6=$Y$76,1,0)</f>
        <v>0</v>
      </c>
      <c r="AA76" s="367">
        <f>IF('coût alimentation'!$B$6=$Y$76,1,0)</f>
        <v>0</v>
      </c>
      <c r="AB76" s="367">
        <f>IF('coût alimentation'!$B$6=$Y$76,1,0)</f>
        <v>0</v>
      </c>
      <c r="AC76" s="367">
        <f>IF('coût alimentation'!$B$6=$Y$76,1,0)</f>
        <v>0</v>
      </c>
      <c r="AD76" s="367">
        <f>IF('coût alimentation'!$B$6=$Y$76,1,0)</f>
        <v>0</v>
      </c>
      <c r="AE76" s="367">
        <f>IF('coût alimentation'!$B$6=$Y$76,1,0)</f>
        <v>0</v>
      </c>
      <c r="AF76" s="367">
        <f>IF('coût alimentation'!$B$6=$Y$76,1,0)</f>
        <v>0</v>
      </c>
      <c r="AG76" s="367">
        <f>IF('coût alimentation'!$B$6=$Y$76,1,0)</f>
        <v>0</v>
      </c>
      <c r="BB76" s="369" t="s">
        <v>437</v>
      </c>
      <c r="BC76" s="344" t="s">
        <v>47</v>
      </c>
      <c r="BD76" s="344" t="s">
        <v>712</v>
      </c>
      <c r="BE76" s="370">
        <v>7.2</v>
      </c>
      <c r="BF76" s="370">
        <v>6</v>
      </c>
      <c r="BG76" s="370">
        <v>4</v>
      </c>
      <c r="BH76" s="370">
        <v>2</v>
      </c>
      <c r="BI76" s="370">
        <v>1.2</v>
      </c>
      <c r="BJ76" s="370">
        <v>0.6</v>
      </c>
      <c r="BK76" s="371">
        <v>0</v>
      </c>
      <c r="BL76" s="305"/>
      <c r="BM76" s="332" t="str">
        <f t="shared" si="7"/>
        <v>Bouchons luzerne</v>
      </c>
      <c r="BN76" s="332">
        <f t="array" ref="BN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36 et plus],MATCH(ChoixRationBisons&amp;$BM76,Règles_bison[Ration]&amp;Règles_bison[Aliment],0)),0),0)*TotalBisonnes*NbreJoursNourrirBisonsDaims)</f>
        <v>0</v>
      </c>
      <c r="BO76" s="332">
        <f t="array" ref="BO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24-36],MATCH(ChoixRationBisons&amp;$BM76,Règles_bison[Ration]&amp;Règles_bison[Aliment],0)),0),0)*TotalBisonsFemelles_24_36_mois*NbreJoursNourrirBisonsDaims)</f>
        <v>0</v>
      </c>
      <c r="BP76" s="332">
        <f t="array" ref="BP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18-24],MATCH(ChoixRationBisons&amp;$BM76,Règles_bison[Ration]&amp;Règles_bison[Aliment],0)),0),0)*TotalBisonsFemelles_18_24_mois*NbreJoursNourrirBisonsDaims)</f>
        <v>0</v>
      </c>
      <c r="BQ76" s="332">
        <f t="array" ref="BQ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12-18],MATCH(ChoixRationBisons&amp;$BM76,Règles_bison[Ration]&amp;Règles_bison[Aliment],0)),0),0)*TotalBisonsFemelles_12_18_mois*NbreJoursNourrirBisonsDaims)</f>
        <v>0</v>
      </c>
      <c r="BR76" s="332">
        <f t="array" ref="BR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6-12],MATCH(ChoixRationBisons&amp;$BM76,Règles_bison[Ration]&amp;Règles_bison[Aliment],0)),0),0)*TotalBisonsFemelles_6_12_mois*NbreJoursNourrirBisonsDaims)</f>
        <v>0</v>
      </c>
      <c r="BS76" s="332">
        <f t="array" ref="BS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3-6],MATCH(ChoixRationBisons&amp;$BM76,Règles_bison[Ration]&amp;Règles_bison[Aliment],0)),0),0)*TotalBisonsFemelles_3_6_mois*NbreJoursNourrirBisonsDaims)</f>
        <v>0</v>
      </c>
      <c r="BT76" s="332">
        <f t="array" ref="BT76">IF(Ration_hivernale_complète_bisons[somme]&gt;0,0,IFERROR(IF(OR(AND(INDEX(Règles_bison[Specificite],MATCH(ChoixRationBisons&amp;$BM76,Règles_bison[Ration]&amp;Règles_bison[Aliment],0))="s1",IF($BM76=ChoixSpécificité1Bisons,1)),
INDEX(Règles_bison[Specificite],MATCH(ChoixRationBisons&amp;$BM76,Règles_bison[Ration]&amp;Règles_bison[Aliment],0))="c"),
INDEX(Règles_bison[Valeur 0-3],MATCH(ChoixRationBisons&amp;$BM76,Règles_bison[Ration]&amp;Règles_bison[Aliment],0)),0),0)*TotalBisonsFemelles_0_3_mois*NbreJoursNourrirBisonsDaims)</f>
        <v>0</v>
      </c>
      <c r="BU76" s="332">
        <f t="shared" si="6"/>
        <v>0</v>
      </c>
      <c r="BW76" s="282"/>
      <c r="BX76" s="355" t="s">
        <v>440</v>
      </c>
      <c r="BY76" s="280" t="s">
        <v>383</v>
      </c>
      <c r="BZ76" s="280" t="s">
        <v>711</v>
      </c>
      <c r="CA76" s="280">
        <v>1.6</v>
      </c>
      <c r="CB76" s="280">
        <v>1.4</v>
      </c>
      <c r="CC76" s="280">
        <v>1.2</v>
      </c>
      <c r="CD76" s="392">
        <v>1</v>
      </c>
      <c r="CE76" s="297"/>
      <c r="CF76" s="297"/>
      <c r="CG76" s="297"/>
      <c r="CH76" s="297"/>
    </row>
    <row r="77" spans="1:86" ht="12.75" customHeight="1" x14ac:dyDescent="0.2">
      <c r="A77" s="355" t="s">
        <v>210</v>
      </c>
      <c r="B77" s="362">
        <f t="shared" si="1"/>
        <v>1E-3</v>
      </c>
      <c r="F77" s="280" t="s">
        <v>632</v>
      </c>
      <c r="G77" s="280" t="s">
        <v>506</v>
      </c>
      <c r="H77" s="280" t="s">
        <v>633</v>
      </c>
      <c r="I77" s="280" t="s">
        <v>508</v>
      </c>
      <c r="J77" s="280" t="s">
        <v>509</v>
      </c>
      <c r="K77" s="280" t="s">
        <v>634</v>
      </c>
      <c r="L77" s="280" t="s">
        <v>511</v>
      </c>
      <c r="Y77" s="367" t="s">
        <v>837</v>
      </c>
      <c r="Z77" s="367">
        <f>IF('coût alimentation'!$B$6=$Y$77,2,0)</f>
        <v>2</v>
      </c>
      <c r="AA77" s="367">
        <f>IF('coût alimentation'!$B$6=$Y$77,2,0)</f>
        <v>2</v>
      </c>
      <c r="AB77" s="367">
        <f>IF('coût alimentation'!$B$6=$Y$77,2,0)</f>
        <v>2</v>
      </c>
      <c r="AC77" s="367">
        <f>IF('coût alimentation'!$B$6=$Y$77,2,0)</f>
        <v>2</v>
      </c>
      <c r="AD77" s="367">
        <f>IF('coût alimentation'!$B$6=$Y$77,2,0)</f>
        <v>2</v>
      </c>
      <c r="AE77" s="367">
        <f>IF('coût alimentation'!$B$6=$Y$77,2,0)</f>
        <v>2</v>
      </c>
      <c r="AF77" s="367">
        <f>IF('coût alimentation'!$B$6=$Y$77,2,0)</f>
        <v>2</v>
      </c>
      <c r="AG77" s="367">
        <f>IF('coût alimentation'!$B$6=$Y$77,2,0)</f>
        <v>2</v>
      </c>
      <c r="BB77" s="369" t="s">
        <v>437</v>
      </c>
      <c r="BC77" s="344" t="s">
        <v>732</v>
      </c>
      <c r="BD77" s="344" t="s">
        <v>713</v>
      </c>
      <c r="BE77" s="370">
        <v>4.8</v>
      </c>
      <c r="BF77" s="370">
        <v>4</v>
      </c>
      <c r="BG77" s="370">
        <v>4</v>
      </c>
      <c r="BH77" s="370">
        <v>4</v>
      </c>
      <c r="BI77" s="370">
        <v>2</v>
      </c>
      <c r="BJ77" s="370">
        <v>1.2</v>
      </c>
      <c r="BK77" s="371">
        <v>0</v>
      </c>
      <c r="BL77" s="305"/>
      <c r="BM77" s="332" t="str">
        <f t="shared" si="7"/>
        <v>Chanvre</v>
      </c>
      <c r="BN77" s="332">
        <f t="array" ref="BN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36 et plus],MATCH(ChoixRationBisons&amp;$BM77,Règles_bison[Ration]&amp;Règles_bison[Aliment],0)),0),0)*TotalBisonnes*NbreJoursNourrirBisonsDaims)</f>
        <v>0</v>
      </c>
      <c r="BO77" s="332">
        <f t="array" ref="BO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24-36],MATCH(ChoixRationBisons&amp;$BM77,Règles_bison[Ration]&amp;Règles_bison[Aliment],0)),0),0)*TotalBisonsFemelles_24_36_mois*NbreJoursNourrirBisonsDaims)</f>
        <v>0</v>
      </c>
      <c r="BP77" s="332">
        <f t="array" ref="BP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18-24],MATCH(ChoixRationBisons&amp;$BM77,Règles_bison[Ration]&amp;Règles_bison[Aliment],0)),0),0)*TotalBisonsFemelles_18_24_mois*NbreJoursNourrirBisonsDaims)</f>
        <v>0</v>
      </c>
      <c r="BQ77" s="332">
        <f t="array" ref="BQ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12-18],MATCH(ChoixRationBisons&amp;$BM77,Règles_bison[Ration]&amp;Règles_bison[Aliment],0)),0),0)*TotalBisonsFemelles_12_18_mois*NbreJoursNourrirBisonsDaims)</f>
        <v>0</v>
      </c>
      <c r="BR77" s="332">
        <f t="array" ref="BR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6-12],MATCH(ChoixRationBisons&amp;$BM77,Règles_bison[Ration]&amp;Règles_bison[Aliment],0)),0),0)*TotalBisonsFemelles_6_12_mois*NbreJoursNourrirBisonsDaims)</f>
        <v>0</v>
      </c>
      <c r="BS77" s="332">
        <f t="array" ref="BS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3-6],MATCH(ChoixRationBisons&amp;$BM77,Règles_bison[Ration]&amp;Règles_bison[Aliment],0)),0),0)*TotalBisonsFemelles_3_6_mois*NbreJoursNourrirBisonsDaims)</f>
        <v>0</v>
      </c>
      <c r="BT77" s="332">
        <f t="array" ref="BT77">IF(Ration_hivernale_complète_bisons[somme]&gt;0,0,IFERROR(IF(OR(AND(INDEX(Règles_bison[Specificite],MATCH(ChoixRationBisons&amp;$BM77,Règles_bison[Ration]&amp;Règles_bison[Aliment],0))="s1",IF($BM77=ChoixSpécificité1Bisons,1)),
INDEX(Règles_bison[Specificite],MATCH(ChoixRationBisons&amp;$BM77,Règles_bison[Ration]&amp;Règles_bison[Aliment],0))="c"),
INDEX(Règles_bison[Valeur 0-3],MATCH(ChoixRationBisons&amp;$BM77,Règles_bison[Ration]&amp;Règles_bison[Aliment],0)),0),0)*TotalBisonsFemelles_0_3_mois*NbreJoursNourrirBisonsDaims)</f>
        <v>0</v>
      </c>
      <c r="BU77" s="332">
        <f t="shared" si="6"/>
        <v>0</v>
      </c>
      <c r="BV77" s="282"/>
      <c r="BW77" s="282"/>
      <c r="BX77" s="355" t="s">
        <v>440</v>
      </c>
      <c r="BY77" s="280" t="s">
        <v>160</v>
      </c>
      <c r="BZ77" s="280" t="s">
        <v>712</v>
      </c>
      <c r="CA77" s="280">
        <v>1.6</v>
      </c>
      <c r="CB77" s="280">
        <v>1.4</v>
      </c>
      <c r="CC77" s="280">
        <v>1.2</v>
      </c>
      <c r="CD77" s="392">
        <v>1</v>
      </c>
      <c r="CE77" s="297"/>
      <c r="CF77" s="297"/>
      <c r="CG77" s="297"/>
      <c r="CH77" s="297"/>
    </row>
    <row r="78" spans="1:86" ht="12.75" customHeight="1" x14ac:dyDescent="0.2">
      <c r="A78" s="355" t="s">
        <v>220</v>
      </c>
      <c r="B78" s="362">
        <f t="shared" si="1"/>
        <v>1E-3</v>
      </c>
      <c r="F78" s="280" t="s">
        <v>617</v>
      </c>
      <c r="G78" s="280" t="s">
        <v>623</v>
      </c>
      <c r="H78" s="311" t="s">
        <v>628</v>
      </c>
      <c r="I78" s="280" t="s">
        <v>624</v>
      </c>
      <c r="J78" s="311" t="s">
        <v>628</v>
      </c>
      <c r="K78" s="311" t="s">
        <v>629</v>
      </c>
      <c r="L78" s="311" t="s">
        <v>629</v>
      </c>
      <c r="Y78" s="367" t="s">
        <v>838</v>
      </c>
      <c r="Z78" s="367">
        <f>IF('coût alimentation'!$B$6=$Y$78,3,0)</f>
        <v>0</v>
      </c>
      <c r="AA78" s="367">
        <f>IF('coût alimentation'!$B$6=$Y$78,3,0)</f>
        <v>0</v>
      </c>
      <c r="AB78" s="367">
        <f>IF('coût alimentation'!$B$6=$Y$78,3,0)</f>
        <v>0</v>
      </c>
      <c r="AC78" s="367">
        <f>IF('coût alimentation'!$B$6=$Y$78,3,0)</f>
        <v>0</v>
      </c>
      <c r="AD78" s="367">
        <f>IF('coût alimentation'!$B$6=$Y$78,3,0)</f>
        <v>0</v>
      </c>
      <c r="AE78" s="367">
        <f>IF('coût alimentation'!$B$6=$Y$78,3,0)</f>
        <v>0</v>
      </c>
      <c r="AF78" s="367">
        <f>IF('coût alimentation'!$B$6=$Y$78,3,0)</f>
        <v>0</v>
      </c>
      <c r="AG78" s="367">
        <f>IF('coût alimentation'!$B$6=$Y$78,3,0)</f>
        <v>0</v>
      </c>
      <c r="BB78" s="369" t="s">
        <v>437</v>
      </c>
      <c r="BC78" s="344" t="s">
        <v>426</v>
      </c>
      <c r="BD78" s="344" t="s">
        <v>713</v>
      </c>
      <c r="BE78" s="370">
        <v>4.8</v>
      </c>
      <c r="BF78" s="370">
        <v>4</v>
      </c>
      <c r="BG78" s="370">
        <v>4</v>
      </c>
      <c r="BH78" s="370">
        <v>4</v>
      </c>
      <c r="BI78" s="370">
        <v>2</v>
      </c>
      <c r="BJ78" s="370">
        <v>1.2</v>
      </c>
      <c r="BK78" s="371">
        <v>0</v>
      </c>
      <c r="BL78" s="305"/>
      <c r="BM78" s="332" t="str">
        <f t="shared" si="7"/>
        <v>Canola</v>
      </c>
      <c r="BN78" s="332">
        <f t="array" ref="BN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36 et plus],MATCH(ChoixRationBisons&amp;$BM78,Règles_bison[Ration]&amp;Règles_bison[Aliment],0)),0),0)*TotalBisonnes*NbreJoursNourrirBisonsDaims)</f>
        <v>0</v>
      </c>
      <c r="BO78" s="332">
        <f t="array" ref="BO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24-36],MATCH(ChoixRationBisons&amp;$BM78,Règles_bison[Ration]&amp;Règles_bison[Aliment],0)),0),0)*TotalBisonsFemelles_24_36_mois*NbreJoursNourrirBisonsDaims)</f>
        <v>0</v>
      </c>
      <c r="BP78" s="332">
        <f t="array" ref="BP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18-24],MATCH(ChoixRationBisons&amp;$BM78,Règles_bison[Ration]&amp;Règles_bison[Aliment],0)),0),0)*TotalBisonsFemelles_18_24_mois*NbreJoursNourrirBisonsDaims)</f>
        <v>0</v>
      </c>
      <c r="BQ78" s="332">
        <f t="array" ref="BQ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12-18],MATCH(ChoixRationBisons&amp;$BM78,Règles_bison[Ration]&amp;Règles_bison[Aliment],0)),0),0)*TotalBisonsFemelles_12_18_mois*NbreJoursNourrirBisonsDaims)</f>
        <v>0</v>
      </c>
      <c r="BR78" s="332">
        <f t="array" ref="BR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6-12],MATCH(ChoixRationBisons&amp;$BM78,Règles_bison[Ration]&amp;Règles_bison[Aliment],0)),0),0)*TotalBisonsFemelles_6_12_mois*NbreJoursNourrirBisonsDaims)</f>
        <v>0</v>
      </c>
      <c r="BS78" s="332">
        <f t="array" ref="BS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3-6],MATCH(ChoixRationBisons&amp;$BM78,Règles_bison[Ration]&amp;Règles_bison[Aliment],0)),0),0)*TotalBisonsFemelles_3_6_mois*NbreJoursNourrirBisonsDaims)</f>
        <v>0</v>
      </c>
      <c r="BT78" s="332">
        <f t="array" ref="BT78">IF(Ration_hivernale_complète_bisons[somme]&gt;0,0,IFERROR(IF(OR(AND(INDEX(Règles_bison[Specificite],MATCH(ChoixRationBisons&amp;$BM78,Règles_bison[Ration]&amp;Règles_bison[Aliment],0))="s1",IF($BM78=ChoixSpécificité1Bisons,1)),
INDEX(Règles_bison[Specificite],MATCH(ChoixRationBisons&amp;$BM78,Règles_bison[Ration]&amp;Règles_bison[Aliment],0))="c"),
INDEX(Règles_bison[Valeur 0-3],MATCH(ChoixRationBisons&amp;$BM78,Règles_bison[Ration]&amp;Règles_bison[Aliment],0)),0),0)*TotalBisonsFemelles_0_3_mois*NbreJoursNourrirBisonsDaims)</f>
        <v>0</v>
      </c>
      <c r="BU78" s="332">
        <f t="shared" si="6"/>
        <v>0</v>
      </c>
      <c r="BV78" s="282"/>
      <c r="BW78" s="282"/>
      <c r="BX78" s="355" t="s">
        <v>440</v>
      </c>
      <c r="BY78" s="280" t="s">
        <v>47</v>
      </c>
      <c r="BZ78" s="280" t="s">
        <v>712</v>
      </c>
      <c r="CA78" s="280">
        <v>1.6</v>
      </c>
      <c r="CB78" s="280">
        <v>1.4</v>
      </c>
      <c r="CC78" s="280">
        <v>1.2</v>
      </c>
      <c r="CD78" s="392">
        <v>1</v>
      </c>
      <c r="CE78" s="297"/>
      <c r="CF78" s="297"/>
      <c r="CG78" s="297"/>
      <c r="CH78" s="297"/>
    </row>
    <row r="79" spans="1:86" ht="12.75" customHeight="1" x14ac:dyDescent="0.2">
      <c r="A79" s="355" t="s">
        <v>221</v>
      </c>
      <c r="B79" s="362">
        <f t="shared" si="1"/>
        <v>1E-3</v>
      </c>
      <c r="F79" s="280" t="s">
        <v>618</v>
      </c>
      <c r="G79" s="280" t="s">
        <v>623</v>
      </c>
      <c r="H79" s="311" t="s">
        <v>628</v>
      </c>
      <c r="I79" s="280" t="s">
        <v>624</v>
      </c>
      <c r="J79" s="311" t="s">
        <v>628</v>
      </c>
      <c r="K79" s="311" t="s">
        <v>629</v>
      </c>
      <c r="L79" s="311" t="s">
        <v>629</v>
      </c>
      <c r="Y79" s="367" t="s">
        <v>839</v>
      </c>
      <c r="Z79" s="367">
        <f>IF('coût alimentation'!$B$6=$Y$79,4,0)</f>
        <v>0</v>
      </c>
      <c r="AA79" s="367">
        <f>IF('coût alimentation'!$B$6=$Y$79,4,0)</f>
        <v>0</v>
      </c>
      <c r="AB79" s="367">
        <f>IF('coût alimentation'!$B$6=$Y$79,4,0)</f>
        <v>0</v>
      </c>
      <c r="AC79" s="367">
        <f>IF('coût alimentation'!$B$6=$Y$79,4,0)</f>
        <v>0</v>
      </c>
      <c r="AD79" s="367">
        <f>IF('coût alimentation'!$B$6=$Y$79,4,0)</f>
        <v>0</v>
      </c>
      <c r="AE79" s="367">
        <f>IF('coût alimentation'!$B$6=$Y$79,4,0)</f>
        <v>0</v>
      </c>
      <c r="AF79" s="367">
        <f>IF('coût alimentation'!$B$6=$Y$79,4,0)</f>
        <v>0</v>
      </c>
      <c r="AG79" s="367">
        <f>IF('coût alimentation'!$B$6=$Y$79,4,0)</f>
        <v>0</v>
      </c>
      <c r="BB79" s="369" t="s">
        <v>437</v>
      </c>
      <c r="BC79" s="344" t="s">
        <v>42</v>
      </c>
      <c r="BD79" s="344" t="s">
        <v>713</v>
      </c>
      <c r="BE79" s="370">
        <v>4.8</v>
      </c>
      <c r="BF79" s="370">
        <v>4</v>
      </c>
      <c r="BG79" s="370">
        <v>4</v>
      </c>
      <c r="BH79" s="370">
        <v>4</v>
      </c>
      <c r="BI79" s="370">
        <v>2</v>
      </c>
      <c r="BJ79" s="370">
        <v>1.2</v>
      </c>
      <c r="BK79" s="371">
        <v>0</v>
      </c>
      <c r="BL79" s="305"/>
      <c r="BM79" s="332" t="str">
        <f t="shared" si="7"/>
        <v>Colza</v>
      </c>
      <c r="BN79" s="332">
        <f t="array" ref="BN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36 et plus],MATCH(ChoixRationBisons&amp;$BM79,Règles_bison[Ration]&amp;Règles_bison[Aliment],0)),0),0)*TotalBisonnes*NbreJoursNourrirBisonsDaims)</f>
        <v>0</v>
      </c>
      <c r="BO79" s="332">
        <f t="array" ref="BO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24-36],MATCH(ChoixRationBisons&amp;$BM79,Règles_bison[Ration]&amp;Règles_bison[Aliment],0)),0),0)*TotalBisonsFemelles_24_36_mois*NbreJoursNourrirBisonsDaims)</f>
        <v>0</v>
      </c>
      <c r="BP79" s="332">
        <f t="array" ref="BP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18-24],MATCH(ChoixRationBisons&amp;$BM79,Règles_bison[Ration]&amp;Règles_bison[Aliment],0)),0),0)*TotalBisonsFemelles_18_24_mois*NbreJoursNourrirBisonsDaims)</f>
        <v>0</v>
      </c>
      <c r="BQ79" s="332">
        <f t="array" ref="BQ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12-18],MATCH(ChoixRationBisons&amp;$BM79,Règles_bison[Ration]&amp;Règles_bison[Aliment],0)),0),0)*TotalBisonsFemelles_12_18_mois*NbreJoursNourrirBisonsDaims)</f>
        <v>0</v>
      </c>
      <c r="BR79" s="332">
        <f t="array" ref="BR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6-12],MATCH(ChoixRationBisons&amp;$BM79,Règles_bison[Ration]&amp;Règles_bison[Aliment],0)),0),0)*TotalBisonsFemelles_6_12_mois*NbreJoursNourrirBisonsDaims)</f>
        <v>0</v>
      </c>
      <c r="BS79" s="332">
        <f t="array" ref="BS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3-6],MATCH(ChoixRationBisons&amp;$BM79,Règles_bison[Ration]&amp;Règles_bison[Aliment],0)),0),0)*TotalBisonsFemelles_3_6_mois*NbreJoursNourrirBisonsDaims)</f>
        <v>0</v>
      </c>
      <c r="BT79" s="332">
        <f t="array" ref="BT79">IF(Ration_hivernale_complète_bisons[somme]&gt;0,0,IFERROR(IF(OR(AND(INDEX(Règles_bison[Specificite],MATCH(ChoixRationBisons&amp;$BM79,Règles_bison[Ration]&amp;Règles_bison[Aliment],0))="s1",IF($BM79=ChoixSpécificité1Bisons,1)),
INDEX(Règles_bison[Specificite],MATCH(ChoixRationBisons&amp;$BM79,Règles_bison[Ration]&amp;Règles_bison[Aliment],0))="c"),
INDEX(Règles_bison[Valeur 0-3],MATCH(ChoixRationBisons&amp;$BM79,Règles_bison[Ration]&amp;Règles_bison[Aliment],0)),0),0)*TotalBisonsFemelles_0_3_mois*NbreJoursNourrirBisonsDaims)</f>
        <v>0</v>
      </c>
      <c r="BU79" s="332">
        <f t="shared" si="6"/>
        <v>0</v>
      </c>
      <c r="BV79" s="282"/>
      <c r="BW79" s="282"/>
      <c r="BX79" s="355" t="s">
        <v>440</v>
      </c>
      <c r="BY79" s="280" t="s">
        <v>730</v>
      </c>
      <c r="BZ79" s="280" t="s">
        <v>711</v>
      </c>
      <c r="CA79" s="280">
        <v>0.08</v>
      </c>
      <c r="CB79" s="280">
        <v>0.04</v>
      </c>
      <c r="CC79" s="280">
        <v>0.04</v>
      </c>
      <c r="CD79" s="392">
        <v>0.04</v>
      </c>
      <c r="CE79" s="297"/>
      <c r="CF79" s="297"/>
      <c r="CG79" s="297"/>
      <c r="CH79" s="297"/>
    </row>
    <row r="80" spans="1:86" ht="12.75" customHeight="1" x14ac:dyDescent="0.2">
      <c r="A80" s="355" t="s">
        <v>127</v>
      </c>
      <c r="B80" s="362">
        <f t="shared" si="1"/>
        <v>1E-3</v>
      </c>
      <c r="F80" s="280" t="s">
        <v>619</v>
      </c>
      <c r="G80" s="280" t="s">
        <v>623</v>
      </c>
      <c r="H80" s="311" t="s">
        <v>628</v>
      </c>
      <c r="I80" s="280" t="s">
        <v>624</v>
      </c>
      <c r="J80" s="311" t="s">
        <v>628</v>
      </c>
      <c r="K80" s="311" t="s">
        <v>629</v>
      </c>
      <c r="L80" s="311" t="s">
        <v>629</v>
      </c>
      <c r="Y80" s="367" t="s">
        <v>840</v>
      </c>
      <c r="Z80" s="367">
        <f>IF('coût alimentation'!$B$6=$Y$80,5,0)</f>
        <v>0</v>
      </c>
      <c r="AA80" s="367">
        <f>IF('coût alimentation'!$B$6=$Y$80,5,0)</f>
        <v>0</v>
      </c>
      <c r="AB80" s="367">
        <f>IF('coût alimentation'!$B$6=$Y$80,5,0)</f>
        <v>0</v>
      </c>
      <c r="AC80" s="367">
        <f>IF('coût alimentation'!$B$6=$Y$80,5,0)</f>
        <v>0</v>
      </c>
      <c r="AD80" s="367">
        <f>IF('coût alimentation'!$B$6=$Y$80,5,0)</f>
        <v>0</v>
      </c>
      <c r="AE80" s="367">
        <f>IF('coût alimentation'!$B$6=$Y$80,5,0)</f>
        <v>0</v>
      </c>
      <c r="AF80" s="367">
        <f>IF('coût alimentation'!$B$6=$Y$80,5,0)</f>
        <v>0</v>
      </c>
      <c r="AG80" s="367">
        <f>IF('coût alimentation'!$B$6=$Y$80,5,0)</f>
        <v>0</v>
      </c>
      <c r="BB80" s="369" t="s">
        <v>437</v>
      </c>
      <c r="BC80" s="344" t="s">
        <v>730</v>
      </c>
      <c r="BD80" s="344" t="s">
        <v>711</v>
      </c>
      <c r="BE80" s="370">
        <v>1</v>
      </c>
      <c r="BF80" s="370">
        <v>0.8</v>
      </c>
      <c r="BG80" s="370">
        <v>0.6</v>
      </c>
      <c r="BH80" s="370">
        <v>0.4</v>
      </c>
      <c r="BI80" s="370">
        <v>0.4</v>
      </c>
      <c r="BJ80" s="370">
        <v>0.4</v>
      </c>
      <c r="BK80" s="371">
        <v>0</v>
      </c>
      <c r="BL80" s="305"/>
      <c r="BM80" s="332" t="str">
        <f t="shared" si="7"/>
        <v>concentré jeunes bovins</v>
      </c>
      <c r="BN80" s="332">
        <f t="array" ref="BN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36 et plus],MATCH(ChoixRationBisons&amp;$BM80,Règles_bison[Ration]&amp;Règles_bison[Aliment],0)),0),0)*TotalBisonnes*NbreJoursNourrirBisonsDaims)</f>
        <v>0</v>
      </c>
      <c r="BO80" s="332">
        <f t="array" ref="BO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24-36],MATCH(ChoixRationBisons&amp;$BM80,Règles_bison[Ration]&amp;Règles_bison[Aliment],0)),0),0)*TotalBisonsFemelles_24_36_mois*NbreJoursNourrirBisonsDaims)</f>
        <v>0</v>
      </c>
      <c r="BP80" s="332">
        <f t="array" ref="BP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18-24],MATCH(ChoixRationBisons&amp;$BM80,Règles_bison[Ration]&amp;Règles_bison[Aliment],0)),0),0)*TotalBisonsFemelles_18_24_mois*NbreJoursNourrirBisonsDaims)</f>
        <v>0</v>
      </c>
      <c r="BQ80" s="332">
        <f t="array" ref="BQ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12-18],MATCH(ChoixRationBisons&amp;$BM80,Règles_bison[Ration]&amp;Règles_bison[Aliment],0)),0),0)*TotalBisonsFemelles_12_18_mois*NbreJoursNourrirBisonsDaims)</f>
        <v>0</v>
      </c>
      <c r="BR80" s="332">
        <f t="array" ref="BR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6-12],MATCH(ChoixRationBisons&amp;$BM80,Règles_bison[Ration]&amp;Règles_bison[Aliment],0)),0),0)*TotalBisonsFemelles_6_12_mois*NbreJoursNourrirBisonsDaims)</f>
        <v>0</v>
      </c>
      <c r="BS80" s="332">
        <f t="array" ref="BS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3-6],MATCH(ChoixRationBisons&amp;$BM80,Règles_bison[Ration]&amp;Règles_bison[Aliment],0)),0),0)*TotalBisonsFemelles_3_6_mois*NbreJoursNourrirBisonsDaims)</f>
        <v>0</v>
      </c>
      <c r="BT80" s="332">
        <f t="array" ref="BT80">IF(Ration_hivernale_complète_bisons[somme]&gt;0,0,IFERROR(IF(OR(AND(INDEX(Règles_bison[Specificite],MATCH(ChoixRationBisons&amp;$BM80,Règles_bison[Ration]&amp;Règles_bison[Aliment],0))="s1",IF($BM80=ChoixSpécificité1Bisons,1)),
INDEX(Règles_bison[Specificite],MATCH(ChoixRationBisons&amp;$BM80,Règles_bison[Ration]&amp;Règles_bison[Aliment],0))="c"),
INDEX(Règles_bison[Valeur 0-3],MATCH(ChoixRationBisons&amp;$BM80,Règles_bison[Ration]&amp;Règles_bison[Aliment],0)),0),0)*TotalBisonsFemelles_0_3_mois*NbreJoursNourrirBisonsDaims)</f>
        <v>0</v>
      </c>
      <c r="BU80" s="332">
        <f t="shared" si="6"/>
        <v>0</v>
      </c>
      <c r="BV80" s="282"/>
      <c r="BX80" s="355" t="s">
        <v>440</v>
      </c>
      <c r="BY80" s="280" t="s">
        <v>444</v>
      </c>
      <c r="BZ80" s="280" t="s">
        <v>711</v>
      </c>
      <c r="CA80" s="280">
        <v>20</v>
      </c>
      <c r="CB80" s="280">
        <v>12</v>
      </c>
      <c r="CC80" s="280">
        <v>8</v>
      </c>
      <c r="CD80" s="392">
        <v>4</v>
      </c>
      <c r="CE80" s="297"/>
      <c r="CF80" s="297"/>
      <c r="CG80" s="297"/>
      <c r="CH80" s="297"/>
    </row>
    <row r="81" spans="1:86" ht="12.75" customHeight="1" x14ac:dyDescent="0.2">
      <c r="A81" s="355" t="s">
        <v>130</v>
      </c>
      <c r="B81" s="362">
        <f t="shared" si="1"/>
        <v>1E-3</v>
      </c>
      <c r="F81" s="280" t="s">
        <v>620</v>
      </c>
      <c r="G81" s="280" t="s">
        <v>623</v>
      </c>
      <c r="H81" s="311" t="s">
        <v>628</v>
      </c>
      <c r="I81" s="280" t="s">
        <v>624</v>
      </c>
      <c r="J81" s="311" t="s">
        <v>628</v>
      </c>
      <c r="K81" s="311" t="s">
        <v>629</v>
      </c>
      <c r="L81" s="311" t="s">
        <v>629</v>
      </c>
      <c r="P81" s="283"/>
      <c r="Q81" s="366" t="s">
        <v>790</v>
      </c>
      <c r="Y81" s="367" t="s">
        <v>841</v>
      </c>
      <c r="Z81" s="367">
        <f>IF('coût alimentation'!$B$6=$Y$81,6,0)</f>
        <v>0</v>
      </c>
      <c r="AA81" s="367">
        <f>IF('coût alimentation'!$B$6=$Y$81,6,0)</f>
        <v>0</v>
      </c>
      <c r="AB81" s="367">
        <f>IF('coût alimentation'!$B$6=$Y$81,6,0)</f>
        <v>0</v>
      </c>
      <c r="AC81" s="367">
        <f>IF('coût alimentation'!$B$6=$Y$81,6,0)</f>
        <v>0</v>
      </c>
      <c r="AD81" s="367">
        <f>IF('coût alimentation'!$B$6=$Y$81,6,0)</f>
        <v>0</v>
      </c>
      <c r="AE81" s="367">
        <f>IF('coût alimentation'!$B$6=$Y$81,6,0)</f>
        <v>0</v>
      </c>
      <c r="AF81" s="367">
        <f>IF('coût alimentation'!$B$6=$Y$81,6,0)</f>
        <v>0</v>
      </c>
      <c r="AG81" s="367">
        <f>IF('coût alimentation'!$B$6=$Y$81,6,0)</f>
        <v>0</v>
      </c>
      <c r="BB81" s="369" t="s">
        <v>437</v>
      </c>
      <c r="BC81" s="344" t="s">
        <v>882</v>
      </c>
      <c r="BD81" s="344" t="s">
        <v>711</v>
      </c>
      <c r="BE81" s="370">
        <v>0</v>
      </c>
      <c r="BF81" s="370">
        <v>0</v>
      </c>
      <c r="BG81" s="370">
        <v>0</v>
      </c>
      <c r="BH81" s="370">
        <v>0</v>
      </c>
      <c r="BI81" s="370">
        <v>0</v>
      </c>
      <c r="BJ81" s="370">
        <v>0</v>
      </c>
      <c r="BK81" s="371">
        <v>8</v>
      </c>
      <c r="BL81" s="305"/>
      <c r="BM81" s="332" t="str">
        <f t="shared" si="7"/>
        <v>concentré jeunes lapins</v>
      </c>
      <c r="BN81" s="332">
        <f t="array" ref="BN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36 et plus],MATCH(ChoixRationBisons&amp;$BM81,Règles_bison[Ration]&amp;Règles_bison[Aliment],0)),0),0)*TotalBisonnes*NbreJoursNourrirBisonsDaims)</f>
        <v>0</v>
      </c>
      <c r="BO81" s="332">
        <f t="array" ref="BO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24-36],MATCH(ChoixRationBisons&amp;$BM81,Règles_bison[Ration]&amp;Règles_bison[Aliment],0)),0),0)*TotalBisonsFemelles_24_36_mois*NbreJoursNourrirBisonsDaims)</f>
        <v>0</v>
      </c>
      <c r="BP81" s="332">
        <f t="array" ref="BP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18-24],MATCH(ChoixRationBisons&amp;$BM81,Règles_bison[Ration]&amp;Règles_bison[Aliment],0)),0),0)*TotalBisonsFemelles_18_24_mois*NbreJoursNourrirBisonsDaims)</f>
        <v>0</v>
      </c>
      <c r="BQ81" s="332">
        <f t="array" ref="BQ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12-18],MATCH(ChoixRationBisons&amp;$BM81,Règles_bison[Ration]&amp;Règles_bison[Aliment],0)),0),0)*TotalBisonsFemelles_12_18_mois*NbreJoursNourrirBisonsDaims)</f>
        <v>0</v>
      </c>
      <c r="BR81" s="332">
        <f t="array" ref="BR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6-12],MATCH(ChoixRationBisons&amp;$BM81,Règles_bison[Ration]&amp;Règles_bison[Aliment],0)),0),0)*TotalBisonsFemelles_6_12_mois*NbreJoursNourrirBisonsDaims)</f>
        <v>0</v>
      </c>
      <c r="BS81" s="332">
        <f t="array" ref="BS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3-6],MATCH(ChoixRationBisons&amp;$BM81,Règles_bison[Ration]&amp;Règles_bison[Aliment],0)),0),0)*TotalBisonsFemelles_3_6_mois*NbreJoursNourrirBisonsDaims)</f>
        <v>0</v>
      </c>
      <c r="BT81" s="332">
        <f t="array" ref="BT81">IF(Ration_hivernale_complète_bisons[somme]&gt;0,0,IFERROR(IF(OR(AND(INDEX(Règles_bison[Specificite],MATCH(ChoixRationBisons&amp;$BM81,Règles_bison[Ration]&amp;Règles_bison[Aliment],0))="s1",IF($BM81=ChoixSpécificité1Bisons,1)),
INDEX(Règles_bison[Specificite],MATCH(ChoixRationBisons&amp;$BM81,Règles_bison[Ration]&amp;Règles_bison[Aliment],0))="c"),
INDEX(Règles_bison[Valeur 0-3],MATCH(ChoixRationBisons&amp;$BM81,Règles_bison[Ration]&amp;Règles_bison[Aliment],0)),0),0)*TotalBisonsFemelles_0_3_mois*NbreJoursNourrirBisonsDaims)</f>
        <v>0</v>
      </c>
      <c r="BU81" s="332">
        <f t="shared" si="6"/>
        <v>0</v>
      </c>
      <c r="BV81" s="282"/>
      <c r="BW81" s="282"/>
      <c r="BX81" s="355" t="s">
        <v>476</v>
      </c>
      <c r="BY81" s="280" t="s">
        <v>434</v>
      </c>
      <c r="BZ81" s="280" t="s">
        <v>735</v>
      </c>
      <c r="CA81" s="280">
        <v>21</v>
      </c>
      <c r="CB81" s="280">
        <v>16</v>
      </c>
      <c r="CC81" s="280">
        <v>11</v>
      </c>
      <c r="CD81" s="392">
        <v>3</v>
      </c>
      <c r="CE81" s="297"/>
      <c r="CF81" s="297"/>
      <c r="CG81" s="297"/>
      <c r="CH81" s="297"/>
    </row>
    <row r="82" spans="1:86" ht="12.75" customHeight="1" x14ac:dyDescent="0.2">
      <c r="A82" s="355" t="s">
        <v>214</v>
      </c>
      <c r="B82" s="362">
        <f t="shared" si="1"/>
        <v>1E-3</v>
      </c>
      <c r="F82" s="280" t="s">
        <v>621</v>
      </c>
      <c r="G82" s="280" t="s">
        <v>623</v>
      </c>
      <c r="H82" s="311" t="s">
        <v>628</v>
      </c>
      <c r="I82" s="280" t="s">
        <v>624</v>
      </c>
      <c r="J82" s="311" t="s">
        <v>628</v>
      </c>
      <c r="K82" s="311" t="s">
        <v>629</v>
      </c>
      <c r="L82" s="311" t="s">
        <v>629</v>
      </c>
      <c r="O82" s="366" t="s">
        <v>789</v>
      </c>
      <c r="P82" s="283"/>
      <c r="Q82" s="366">
        <v>4</v>
      </c>
      <c r="Y82" s="367" t="s">
        <v>842</v>
      </c>
      <c r="Z82" s="367">
        <f>IF('coût alimentation'!$B$6=$Y$82,7,0)</f>
        <v>0</v>
      </c>
      <c r="AA82" s="367">
        <f>IF('coût alimentation'!$B$6=$Y$82,7,0)</f>
        <v>0</v>
      </c>
      <c r="AB82" s="367">
        <f>IF('coût alimentation'!$B$6=$Y$82,7,0)</f>
        <v>0</v>
      </c>
      <c r="AC82" s="367">
        <f>IF('coût alimentation'!$B$6=$Y$82,7,0)</f>
        <v>0</v>
      </c>
      <c r="AD82" s="367">
        <f>IF('coût alimentation'!$B$6=$Y$82,7,0)</f>
        <v>0</v>
      </c>
      <c r="AE82" s="367">
        <f>IF('coût alimentation'!$B$6=$Y$82,7,0)</f>
        <v>0</v>
      </c>
      <c r="AF82" s="367">
        <f>IF('coût alimentation'!$B$6=$Y$82,7,0)</f>
        <v>0</v>
      </c>
      <c r="AG82" s="367">
        <f>IF('coût alimentation'!$B$6=$Y$82,7,0)</f>
        <v>0</v>
      </c>
      <c r="BB82" s="369" t="s">
        <v>437</v>
      </c>
      <c r="BC82" s="344" t="s">
        <v>444</v>
      </c>
      <c r="BD82" s="344" t="s">
        <v>711</v>
      </c>
      <c r="BE82" s="370">
        <v>200</v>
      </c>
      <c r="BF82" s="370">
        <v>100</v>
      </c>
      <c r="BG82" s="370">
        <v>80</v>
      </c>
      <c r="BH82" s="370">
        <v>60</v>
      </c>
      <c r="BI82" s="370">
        <v>40</v>
      </c>
      <c r="BJ82" s="370">
        <v>28</v>
      </c>
      <c r="BK82" s="371">
        <v>12</v>
      </c>
      <c r="BL82" s="305"/>
      <c r="BM82" s="332" t="str">
        <f t="shared" si="7"/>
        <v>concentré jeunes porcins</v>
      </c>
      <c r="BN82" s="332">
        <f t="array" ref="BN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36 et plus],MATCH(ChoixRationBisons&amp;$BM82,Règles_bison[Ration]&amp;Règles_bison[Aliment],0)),0),0)*TotalBisonnes*NbreJoursNourrirBisonsDaims)</f>
        <v>0</v>
      </c>
      <c r="BO82" s="332">
        <f t="array" ref="BO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24-36],MATCH(ChoixRationBisons&amp;$BM82,Règles_bison[Ration]&amp;Règles_bison[Aliment],0)),0),0)*TotalBisonsFemelles_24_36_mois*NbreJoursNourrirBisonsDaims)</f>
        <v>0</v>
      </c>
      <c r="BP82" s="332">
        <f t="array" ref="BP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18-24],MATCH(ChoixRationBisons&amp;$BM82,Règles_bison[Ration]&amp;Règles_bison[Aliment],0)),0),0)*TotalBisonsFemelles_18_24_mois*NbreJoursNourrirBisonsDaims)</f>
        <v>0</v>
      </c>
      <c r="BQ82" s="332">
        <f t="array" ref="BQ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12-18],MATCH(ChoixRationBisons&amp;$BM82,Règles_bison[Ration]&amp;Règles_bison[Aliment],0)),0),0)*TotalBisonsFemelles_12_18_mois*NbreJoursNourrirBisonsDaims)</f>
        <v>0</v>
      </c>
      <c r="BR82" s="332">
        <f t="array" ref="BR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6-12],MATCH(ChoixRationBisons&amp;$BM82,Règles_bison[Ration]&amp;Règles_bison[Aliment],0)),0),0)*TotalBisonsFemelles_6_12_mois*NbreJoursNourrirBisonsDaims)</f>
        <v>0</v>
      </c>
      <c r="BS82" s="332">
        <f t="array" ref="BS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3-6],MATCH(ChoixRationBisons&amp;$BM82,Règles_bison[Ration]&amp;Règles_bison[Aliment],0)),0),0)*TotalBisonsFemelles_3_6_mois*NbreJoursNourrirBisonsDaims)</f>
        <v>0</v>
      </c>
      <c r="BT82" s="332">
        <f t="array" ref="BT82">IF(Ration_hivernale_complète_bisons[somme]&gt;0,0,IFERROR(IF(OR(AND(INDEX(Règles_bison[Specificite],MATCH(ChoixRationBisons&amp;$BM82,Règles_bison[Ration]&amp;Règles_bison[Aliment],0))="s1",IF($BM82=ChoixSpécificité1Bisons,1)),
INDEX(Règles_bison[Specificite],MATCH(ChoixRationBisons&amp;$BM82,Règles_bison[Ration]&amp;Règles_bison[Aliment],0))="c"),
INDEX(Règles_bison[Valeur 0-3],MATCH(ChoixRationBisons&amp;$BM82,Règles_bison[Ration]&amp;Règles_bison[Aliment],0)),0),0)*TotalBisonsFemelles_0_3_mois*NbreJoursNourrirBisonsDaims)</f>
        <v>0</v>
      </c>
      <c r="BU82" s="332">
        <f t="shared" si="6"/>
        <v>0</v>
      </c>
      <c r="BV82" s="282"/>
      <c r="BW82" s="282"/>
      <c r="BX82" s="355" t="s">
        <v>476</v>
      </c>
      <c r="BY82" s="280" t="s">
        <v>382</v>
      </c>
      <c r="BZ82" s="280" t="s">
        <v>711</v>
      </c>
      <c r="CA82" s="280">
        <v>16</v>
      </c>
      <c r="CB82" s="280">
        <v>12</v>
      </c>
      <c r="CC82" s="280">
        <v>8</v>
      </c>
      <c r="CD82" s="392">
        <v>0</v>
      </c>
      <c r="CE82" s="297"/>
      <c r="CF82" s="297"/>
      <c r="CG82" s="297"/>
      <c r="CH82" s="297"/>
    </row>
    <row r="83" spans="1:86" ht="12.75" customHeight="1" x14ac:dyDescent="0.2">
      <c r="A83" s="355" t="s">
        <v>215</v>
      </c>
      <c r="B83" s="362">
        <f t="shared" si="1"/>
        <v>1E-3</v>
      </c>
      <c r="F83" s="280" t="s">
        <v>622</v>
      </c>
      <c r="G83" s="280" t="s">
        <v>623</v>
      </c>
      <c r="H83" s="311" t="s">
        <v>628</v>
      </c>
      <c r="I83" s="280" t="s">
        <v>624</v>
      </c>
      <c r="J83" s="311" t="s">
        <v>628</v>
      </c>
      <c r="K83" s="311" t="s">
        <v>629</v>
      </c>
      <c r="L83" s="311" t="s">
        <v>629</v>
      </c>
      <c r="O83" s="366" t="s">
        <v>768</v>
      </c>
      <c r="P83" s="283"/>
      <c r="Q83" s="366">
        <v>5</v>
      </c>
      <c r="Y83" s="367" t="s">
        <v>843</v>
      </c>
      <c r="Z83" s="367">
        <f>IF('coût alimentation'!$B$6=$Y$83,8,0)</f>
        <v>0</v>
      </c>
      <c r="AA83" s="367">
        <f>IF('coût alimentation'!$B$6=$Y$83,8,0)</f>
        <v>0</v>
      </c>
      <c r="AB83" s="367">
        <f>IF('coût alimentation'!$B$6=$Y$83,8,0)</f>
        <v>0</v>
      </c>
      <c r="AC83" s="367">
        <f>IF('coût alimentation'!$B$6=$Y$83,8,0)</f>
        <v>0</v>
      </c>
      <c r="AD83" s="367">
        <f>IF('coût alimentation'!$B$6=$Y$83,8,0)</f>
        <v>0</v>
      </c>
      <c r="AE83" s="367">
        <f>IF('coût alimentation'!$B$6=$Y$83,8,0)</f>
        <v>0</v>
      </c>
      <c r="AF83" s="367">
        <f>IF('coût alimentation'!$B$6=$Y$83,8,0)</f>
        <v>0</v>
      </c>
      <c r="AG83" s="367">
        <f>IF('coût alimentation'!$B$6=$Y$83,8,0)</f>
        <v>0</v>
      </c>
      <c r="BB83" s="369" t="s">
        <v>438</v>
      </c>
      <c r="BC83" s="344" t="s">
        <v>434</v>
      </c>
      <c r="BD83" s="344" t="s">
        <v>735</v>
      </c>
      <c r="BE83" s="370">
        <v>161</v>
      </c>
      <c r="BF83" s="370">
        <v>137</v>
      </c>
      <c r="BG83" s="370">
        <v>107</v>
      </c>
      <c r="BH83" s="370">
        <v>81</v>
      </c>
      <c r="BI83" s="370">
        <v>55</v>
      </c>
      <c r="BJ83" s="370">
        <v>27</v>
      </c>
      <c r="BK83" s="371">
        <v>0</v>
      </c>
      <c r="BL83" s="305"/>
      <c r="BM83" s="332" t="str">
        <f t="shared" si="7"/>
        <v>Ensilage d'herbe</v>
      </c>
      <c r="BN83" s="332">
        <f t="array" ref="BN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36 et plus],MATCH(ChoixRationBisons&amp;$BM83,Règles_bison[Ration]&amp;Règles_bison[Aliment],0)),0),0)*TotalBisonnes*NbreJoursNourrirBisonsDaims)</f>
        <v>0</v>
      </c>
      <c r="BO83" s="332">
        <f t="array" ref="BO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24-36],MATCH(ChoixRationBisons&amp;$BM83,Règles_bison[Ration]&amp;Règles_bison[Aliment],0)),0),0)*TotalBisonsFemelles_24_36_mois*NbreJoursNourrirBisonsDaims)</f>
        <v>0</v>
      </c>
      <c r="BP83" s="332">
        <f t="array" ref="BP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18-24],MATCH(ChoixRationBisons&amp;$BM83,Règles_bison[Ration]&amp;Règles_bison[Aliment],0)),0),0)*TotalBisonsFemelles_18_24_mois*NbreJoursNourrirBisonsDaims)</f>
        <v>0</v>
      </c>
      <c r="BQ83" s="332">
        <f t="array" ref="BQ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12-18],MATCH(ChoixRationBisons&amp;$BM83,Règles_bison[Ration]&amp;Règles_bison[Aliment],0)),0),0)*TotalBisonsFemelles_12_18_mois*NbreJoursNourrirBisonsDaims)</f>
        <v>0</v>
      </c>
      <c r="BR83" s="332">
        <f t="array" ref="BR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6-12],MATCH(ChoixRationBisons&amp;$BM83,Règles_bison[Ration]&amp;Règles_bison[Aliment],0)),0),0)*TotalBisonsFemelles_6_12_mois*NbreJoursNourrirBisonsDaims)</f>
        <v>0</v>
      </c>
      <c r="BS83" s="332">
        <f t="array" ref="BS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3-6],MATCH(ChoixRationBisons&amp;$BM83,Règles_bison[Ration]&amp;Règles_bison[Aliment],0)),0),0)*TotalBisonsFemelles_3_6_mois*NbreJoursNourrirBisonsDaims)</f>
        <v>0</v>
      </c>
      <c r="BT83" s="332">
        <f t="array" ref="BT83">IF(Ration_hivernale_complète_bisons[somme]&gt;0,0,IFERROR(IF(OR(AND(INDEX(Règles_bison[Specificite],MATCH(ChoixRationBisons&amp;$BM83,Règles_bison[Ration]&amp;Règles_bison[Aliment],0))="s1",IF($BM83=ChoixSpécificité1Bisons,1)),
INDEX(Règles_bison[Specificite],MATCH(ChoixRationBisons&amp;$BM83,Règles_bison[Ration]&amp;Règles_bison[Aliment],0))="c"),
INDEX(Règles_bison[Valeur 0-3],MATCH(ChoixRationBisons&amp;$BM83,Règles_bison[Ration]&amp;Règles_bison[Aliment],0)),0),0)*TotalBisonsFemelles_0_3_mois*NbreJoursNourrirBisonsDaims)</f>
        <v>0</v>
      </c>
      <c r="BU83" s="332">
        <f t="shared" si="6"/>
        <v>0</v>
      </c>
      <c r="BV83" s="282"/>
      <c r="BW83" s="282"/>
      <c r="BX83" s="355" t="s">
        <v>476</v>
      </c>
      <c r="BY83" s="280" t="s">
        <v>124</v>
      </c>
      <c r="BZ83" s="280" t="s">
        <v>711</v>
      </c>
      <c r="CA83" s="280">
        <v>1.2</v>
      </c>
      <c r="CB83" s="280">
        <v>1.2</v>
      </c>
      <c r="CC83" s="280">
        <v>0.8</v>
      </c>
      <c r="CD83" s="392">
        <v>2.8</v>
      </c>
      <c r="CE83" s="297"/>
      <c r="CF83" s="297"/>
      <c r="CG83" s="297"/>
      <c r="CH83" s="297"/>
    </row>
    <row r="84" spans="1:86" ht="12.75" customHeight="1" x14ac:dyDescent="0.2">
      <c r="A84" s="355" t="s">
        <v>216</v>
      </c>
      <c r="B84" s="362">
        <f t="shared" si="1"/>
        <v>1E-3</v>
      </c>
      <c r="F84" s="280" t="s">
        <v>625</v>
      </c>
      <c r="G84" s="280">
        <v>0</v>
      </c>
      <c r="H84" s="311" t="s">
        <v>628</v>
      </c>
      <c r="I84" s="280" t="s">
        <v>626</v>
      </c>
      <c r="J84" s="280" t="s">
        <v>626</v>
      </c>
      <c r="K84" s="311" t="s">
        <v>630</v>
      </c>
      <c r="L84" s="311" t="s">
        <v>629</v>
      </c>
      <c r="O84" s="366" t="s">
        <v>766</v>
      </c>
      <c r="P84" s="283"/>
      <c r="Y84" s="367" t="s">
        <v>844</v>
      </c>
      <c r="Z84" s="367">
        <f>IF('coût alimentation'!$B$6=$Y$84,9,0)</f>
        <v>0</v>
      </c>
      <c r="AA84" s="367">
        <f>IF('coût alimentation'!$B$6=$Y$84,9,0)</f>
        <v>0</v>
      </c>
      <c r="AB84" s="367">
        <f>IF('coût alimentation'!$B$6=$Y$84,9,0)</f>
        <v>0</v>
      </c>
      <c r="AC84" s="367">
        <f>IF('coût alimentation'!$B$6=$Y$84,9,0)</f>
        <v>0</v>
      </c>
      <c r="AD84" s="367">
        <f>IF('coût alimentation'!$B$6=$Y$84,9,0)</f>
        <v>0</v>
      </c>
      <c r="AE84" s="367">
        <f>IF('coût alimentation'!$B$6=$Y$84,9,0)</f>
        <v>0</v>
      </c>
      <c r="AF84" s="367">
        <f>IF('coût alimentation'!$B$6=$Y$84,9,0)</f>
        <v>0</v>
      </c>
      <c r="AG84" s="367">
        <f>IF('coût alimentation'!$B$6=$Y$84,9,0)</f>
        <v>0</v>
      </c>
      <c r="BB84" s="369" t="s">
        <v>438</v>
      </c>
      <c r="BC84" s="344" t="s">
        <v>436</v>
      </c>
      <c r="BD84" s="344" t="s">
        <v>711</v>
      </c>
      <c r="BE84" s="370">
        <v>28</v>
      </c>
      <c r="BF84" s="370">
        <v>24</v>
      </c>
      <c r="BG84" s="370">
        <v>20</v>
      </c>
      <c r="BH84" s="370">
        <v>16</v>
      </c>
      <c r="BI84" s="370">
        <v>8</v>
      </c>
      <c r="BJ84" s="370">
        <v>4</v>
      </c>
      <c r="BK84" s="371">
        <v>0</v>
      </c>
      <c r="BL84" s="305"/>
      <c r="BM84" s="332" t="str">
        <f t="shared" si="7"/>
        <v>Eau</v>
      </c>
      <c r="BN84" s="332">
        <f t="array" ref="BN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36 et plus],MATCH(ChoixRationBisons&amp;$BM84,Règles_bison[Ration]&amp;Règles_bison[Aliment],0)),0),0)*TotalBisonnes*NbreJoursNourrirBisonsDaims)</f>
        <v>0</v>
      </c>
      <c r="BO84" s="332">
        <f t="array" ref="BO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24-36],MATCH(ChoixRationBisons&amp;$BM84,Règles_bison[Ration]&amp;Règles_bison[Aliment],0)),0),0)*TotalBisonsFemelles_24_36_mois*NbreJoursNourrirBisonsDaims)</f>
        <v>0</v>
      </c>
      <c r="BP84" s="332">
        <f t="array" ref="BP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18-24],MATCH(ChoixRationBisons&amp;$BM84,Règles_bison[Ration]&amp;Règles_bison[Aliment],0)),0),0)*TotalBisonsFemelles_18_24_mois*NbreJoursNourrirBisonsDaims)</f>
        <v>0</v>
      </c>
      <c r="BQ84" s="332">
        <f t="array" ref="BQ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12-18],MATCH(ChoixRationBisons&amp;$BM84,Règles_bison[Ration]&amp;Règles_bison[Aliment],0)),0),0)*TotalBisonsFemelles_12_18_mois*NbreJoursNourrirBisonsDaims)</f>
        <v>0</v>
      </c>
      <c r="BR84" s="332">
        <f t="array" ref="BR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6-12],MATCH(ChoixRationBisons&amp;$BM84,Règles_bison[Ration]&amp;Règles_bison[Aliment],0)),0),0)*TotalBisonsFemelles_6_12_mois*NbreJoursNourrirBisonsDaims)</f>
        <v>0</v>
      </c>
      <c r="BS84" s="332">
        <f t="array" ref="BS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3-6],MATCH(ChoixRationBisons&amp;$BM84,Règles_bison[Ration]&amp;Règles_bison[Aliment],0)),0),0)*TotalBisonsFemelles_3_6_mois*NbreJoursNourrirBisonsDaims)</f>
        <v>0</v>
      </c>
      <c r="BT84" s="332">
        <f t="array" ref="BT84">IF(Ration_hivernale_complète_bisons[somme]&gt;0,0,IFERROR(IF(OR(AND(INDEX(Règles_bison[Specificite],MATCH(ChoixRationBisons&amp;$BM84,Règles_bison[Ration]&amp;Règles_bison[Aliment],0))="s1",IF($BM84=ChoixSpécificité1Bisons,1)),
INDEX(Règles_bison[Specificite],MATCH(ChoixRationBisons&amp;$BM84,Règles_bison[Ration]&amp;Règles_bison[Aliment],0))="c"),
INDEX(Règles_bison[Valeur 0-3],MATCH(ChoixRationBisons&amp;$BM84,Règles_bison[Ration]&amp;Règles_bison[Aliment],0)),0),0)*TotalBisonsFemelles_0_3_mois*NbreJoursNourrirBisonsDaims)</f>
        <v>0</v>
      </c>
      <c r="BU84" s="332">
        <f t="shared" si="6"/>
        <v>0</v>
      </c>
      <c r="BV84" s="282"/>
      <c r="BW84" s="282"/>
      <c r="BX84" s="355" t="s">
        <v>476</v>
      </c>
      <c r="BY84" s="280" t="s">
        <v>383</v>
      </c>
      <c r="BZ84" s="280" t="s">
        <v>711</v>
      </c>
      <c r="CA84" s="280">
        <v>1.6</v>
      </c>
      <c r="CB84" s="280">
        <v>1.4</v>
      </c>
      <c r="CC84" s="280">
        <v>1.2</v>
      </c>
      <c r="CD84" s="392">
        <v>1</v>
      </c>
      <c r="CE84" s="297"/>
      <c r="CF84" s="297"/>
      <c r="CG84" s="297"/>
      <c r="CH84" s="297"/>
    </row>
    <row r="85" spans="1:86" ht="12.75" customHeight="1" x14ac:dyDescent="0.2">
      <c r="A85" s="355" t="s">
        <v>126</v>
      </c>
      <c r="B85" s="362">
        <f t="shared" si="1"/>
        <v>1E-3</v>
      </c>
      <c r="F85" s="280" t="s">
        <v>627</v>
      </c>
      <c r="G85" s="280">
        <v>0</v>
      </c>
      <c r="H85" s="311" t="s">
        <v>628</v>
      </c>
      <c r="I85" s="280" t="s">
        <v>626</v>
      </c>
      <c r="J85" s="280" t="s">
        <v>626</v>
      </c>
      <c r="K85" s="311" t="s">
        <v>630</v>
      </c>
      <c r="L85" s="311" t="s">
        <v>629</v>
      </c>
      <c r="P85" s="283"/>
      <c r="Y85" s="367" t="s">
        <v>845</v>
      </c>
      <c r="Z85" s="367">
        <f>IF('coût alimentation'!$B$6=$Y$85,10,0)</f>
        <v>0</v>
      </c>
      <c r="AA85" s="367">
        <f>IF('coût alimentation'!$B$6=$Y$85,10,0)</f>
        <v>0</v>
      </c>
      <c r="AB85" s="367">
        <f>IF('coût alimentation'!$B$6=$Y$85,10,0)</f>
        <v>0</v>
      </c>
      <c r="AC85" s="367">
        <f>IF('coût alimentation'!$B$6=$Y$85,10,0)</f>
        <v>0</v>
      </c>
      <c r="AD85" s="367">
        <f>IF('coût alimentation'!$B$6=$Y$85,10,0)</f>
        <v>0</v>
      </c>
      <c r="AE85" s="367">
        <f>IF('coût alimentation'!$B$6=$Y$85,10,0)</f>
        <v>0</v>
      </c>
      <c r="AF85" s="367">
        <f>IF('coût alimentation'!$B$6=$Y$85,10,0)</f>
        <v>0</v>
      </c>
      <c r="AG85" s="367">
        <f>IF('coût alimentation'!$B$6=$Y$85,10,0)</f>
        <v>0</v>
      </c>
      <c r="BB85" s="369" t="s">
        <v>438</v>
      </c>
      <c r="BC85" s="344" t="s">
        <v>297</v>
      </c>
      <c r="BD85" s="344" t="s">
        <v>711</v>
      </c>
      <c r="BE85" s="370">
        <v>120</v>
      </c>
      <c r="BF85" s="370">
        <v>100</v>
      </c>
      <c r="BG85" s="370">
        <v>84</v>
      </c>
      <c r="BH85" s="370">
        <v>60</v>
      </c>
      <c r="BI85" s="370">
        <v>36</v>
      </c>
      <c r="BJ85" s="370">
        <v>16</v>
      </c>
      <c r="BK85" s="371">
        <v>0</v>
      </c>
      <c r="BL85" s="305"/>
      <c r="BM85" s="332" t="str">
        <f t="shared" si="7"/>
        <v>Epinard</v>
      </c>
      <c r="BN85" s="332">
        <f t="array" ref="BN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36 et plus],MATCH(ChoixRationBisons&amp;$BM85,Règles_bison[Ration]&amp;Règles_bison[Aliment],0)),0),0)*TotalBisonnes*NbreJoursNourrirBisonsDaims)</f>
        <v>0</v>
      </c>
      <c r="BO85" s="332">
        <f t="array" ref="BO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24-36],MATCH(ChoixRationBisons&amp;$BM85,Règles_bison[Ration]&amp;Règles_bison[Aliment],0)),0),0)*TotalBisonsFemelles_24_36_mois*NbreJoursNourrirBisonsDaims)</f>
        <v>0</v>
      </c>
      <c r="BP85" s="332">
        <f t="array" ref="BP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18-24],MATCH(ChoixRationBisons&amp;$BM85,Règles_bison[Ration]&amp;Règles_bison[Aliment],0)),0),0)*TotalBisonsFemelles_18_24_mois*NbreJoursNourrirBisonsDaims)</f>
        <v>0</v>
      </c>
      <c r="BQ85" s="332">
        <f t="array" ref="BQ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12-18],MATCH(ChoixRationBisons&amp;$BM85,Règles_bison[Ration]&amp;Règles_bison[Aliment],0)),0),0)*TotalBisonsFemelles_12_18_mois*NbreJoursNourrirBisonsDaims)</f>
        <v>0</v>
      </c>
      <c r="BR85" s="332">
        <f t="array" ref="BR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6-12],MATCH(ChoixRationBisons&amp;$BM85,Règles_bison[Ration]&amp;Règles_bison[Aliment],0)),0),0)*TotalBisonsFemelles_6_12_mois*NbreJoursNourrirBisonsDaims)</f>
        <v>0</v>
      </c>
      <c r="BS85" s="332">
        <f t="array" ref="BS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3-6],MATCH(ChoixRationBisons&amp;$BM85,Règles_bison[Ration]&amp;Règles_bison[Aliment],0)),0),0)*TotalBisonsFemelles_3_6_mois*NbreJoursNourrirBisonsDaims)</f>
        <v>0</v>
      </c>
      <c r="BT85" s="332">
        <f t="array" ref="BT85">IF(Ration_hivernale_complète_bisons[somme]&gt;0,0,IFERROR(IF(OR(AND(INDEX(Règles_bison[Specificite],MATCH(ChoixRationBisons&amp;$BM85,Règles_bison[Ration]&amp;Règles_bison[Aliment],0))="s1",IF($BM85=ChoixSpécificité1Bisons,1)),
INDEX(Règles_bison[Specificite],MATCH(ChoixRationBisons&amp;$BM85,Règles_bison[Ration]&amp;Règles_bison[Aliment],0))="c"),
INDEX(Règles_bison[Valeur 0-3],MATCH(ChoixRationBisons&amp;$BM85,Règles_bison[Ration]&amp;Règles_bison[Aliment],0)),0),0)*TotalBisonsFemelles_0_3_mois*NbreJoursNourrirBisonsDaims)</f>
        <v>0</v>
      </c>
      <c r="BU85" s="332">
        <f t="shared" si="6"/>
        <v>0</v>
      </c>
      <c r="BV85" s="282"/>
      <c r="BW85" s="282"/>
      <c r="BX85" s="355" t="s">
        <v>476</v>
      </c>
      <c r="BY85" s="280" t="s">
        <v>160</v>
      </c>
      <c r="BZ85" s="280" t="s">
        <v>712</v>
      </c>
      <c r="CA85" s="280">
        <v>1.6</v>
      </c>
      <c r="CB85" s="280">
        <v>1.4</v>
      </c>
      <c r="CC85" s="280">
        <v>1.2</v>
      </c>
      <c r="CD85" s="392">
        <v>1</v>
      </c>
      <c r="CE85" s="297"/>
      <c r="CF85" s="297"/>
      <c r="CG85" s="297"/>
      <c r="CH85" s="297"/>
    </row>
    <row r="86" spans="1:86" ht="12.75" customHeight="1" x14ac:dyDescent="0.2">
      <c r="A86" s="355" t="s">
        <v>129</v>
      </c>
      <c r="B86" s="362">
        <f t="shared" si="1"/>
        <v>1E-3</v>
      </c>
      <c r="P86" s="283"/>
      <c r="Y86" s="367" t="s">
        <v>846</v>
      </c>
      <c r="Z86" s="367">
        <f>IF('coût alimentation'!$B$6=$Y$86,11,0)</f>
        <v>0</v>
      </c>
      <c r="AA86" s="367">
        <f>IF('coût alimentation'!$B$6=$Y$86,11,0)</f>
        <v>0</v>
      </c>
      <c r="AB86" s="367">
        <f>IF('coût alimentation'!$B$6=$Y$86,11,0)</f>
        <v>0</v>
      </c>
      <c r="AC86" s="367">
        <f>IF('coût alimentation'!$B$6=$Y$86,11,0)</f>
        <v>0</v>
      </c>
      <c r="AD86" s="367">
        <f>IF('coût alimentation'!$B$6=$Y$86,11,0)</f>
        <v>0</v>
      </c>
      <c r="AE86" s="367">
        <f>IF('coût alimentation'!$B$6=$Y$86,11,0)</f>
        <v>0</v>
      </c>
      <c r="AF86" s="367">
        <f>IF('coût alimentation'!$B$6=$Y$86,11,0)</f>
        <v>0</v>
      </c>
      <c r="AG86" s="367">
        <f>IF('coût alimentation'!$B$6=$Y$86,11,0)</f>
        <v>0</v>
      </c>
      <c r="BB86" s="369" t="s">
        <v>438</v>
      </c>
      <c r="BC86" s="344" t="s">
        <v>383</v>
      </c>
      <c r="BD86" s="344" t="s">
        <v>712</v>
      </c>
      <c r="BE86" s="370">
        <v>7.2</v>
      </c>
      <c r="BF86" s="370">
        <v>6</v>
      </c>
      <c r="BG86" s="370">
        <v>4</v>
      </c>
      <c r="BH86" s="370">
        <v>2</v>
      </c>
      <c r="BI86" s="370">
        <v>1.2</v>
      </c>
      <c r="BJ86" s="370">
        <v>0.6</v>
      </c>
      <c r="BK86" s="371">
        <v>0</v>
      </c>
      <c r="BL86" s="305"/>
      <c r="BM86" s="332" t="str">
        <f t="shared" si="7"/>
        <v>Féverole</v>
      </c>
      <c r="BN86" s="332">
        <f t="array" ref="BN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36 et plus],MATCH(ChoixRationBisons&amp;$BM86,Règles_bison[Ration]&amp;Règles_bison[Aliment],0)),0),0)*TotalBisonnes*NbreJoursNourrirBisonsDaims)</f>
        <v>0</v>
      </c>
      <c r="BO86" s="332">
        <f t="array" ref="BO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24-36],MATCH(ChoixRationBisons&amp;$BM86,Règles_bison[Ration]&amp;Règles_bison[Aliment],0)),0),0)*TotalBisonsFemelles_24_36_mois*NbreJoursNourrirBisonsDaims)</f>
        <v>0</v>
      </c>
      <c r="BP86" s="332">
        <f t="array" ref="BP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18-24],MATCH(ChoixRationBisons&amp;$BM86,Règles_bison[Ration]&amp;Règles_bison[Aliment],0)),0),0)*TotalBisonsFemelles_18_24_mois*NbreJoursNourrirBisonsDaims)</f>
        <v>0</v>
      </c>
      <c r="BQ86" s="332">
        <f t="array" ref="BQ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12-18],MATCH(ChoixRationBisons&amp;$BM86,Règles_bison[Ration]&amp;Règles_bison[Aliment],0)),0),0)*TotalBisonsFemelles_12_18_mois*NbreJoursNourrirBisonsDaims)</f>
        <v>0</v>
      </c>
      <c r="BR86" s="332">
        <f t="array" ref="BR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6-12],MATCH(ChoixRationBisons&amp;$BM86,Règles_bison[Ration]&amp;Règles_bison[Aliment],0)),0),0)*TotalBisonsFemelles_6_12_mois*NbreJoursNourrirBisonsDaims)</f>
        <v>0</v>
      </c>
      <c r="BS86" s="332">
        <f t="array" ref="BS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3-6],MATCH(ChoixRationBisons&amp;$BM86,Règles_bison[Ration]&amp;Règles_bison[Aliment],0)),0),0)*TotalBisonsFemelles_3_6_mois*NbreJoursNourrirBisonsDaims)</f>
        <v>0</v>
      </c>
      <c r="BT86" s="332">
        <f t="array" ref="BT86">IF(Ration_hivernale_complète_bisons[somme]&gt;0,0,IFERROR(IF(OR(AND(INDEX(Règles_bison[Specificite],MATCH(ChoixRationBisons&amp;$BM86,Règles_bison[Ration]&amp;Règles_bison[Aliment],0))="s1",IF($BM86=ChoixSpécificité1Bisons,1)),
INDEX(Règles_bison[Specificite],MATCH(ChoixRationBisons&amp;$BM86,Règles_bison[Ration]&amp;Règles_bison[Aliment],0))="c"),
INDEX(Règles_bison[Valeur 0-3],MATCH(ChoixRationBisons&amp;$BM86,Règles_bison[Ration]&amp;Règles_bison[Aliment],0)),0),0)*TotalBisonsFemelles_0_3_mois*NbreJoursNourrirBisonsDaims)</f>
        <v>0</v>
      </c>
      <c r="BU86" s="332">
        <f t="shared" si="6"/>
        <v>0</v>
      </c>
      <c r="BV86" s="282"/>
      <c r="BW86" s="282"/>
      <c r="BX86" s="355" t="s">
        <v>476</v>
      </c>
      <c r="BY86" s="280" t="s">
        <v>47</v>
      </c>
      <c r="BZ86" s="280" t="s">
        <v>712</v>
      </c>
      <c r="CA86" s="280">
        <v>1.6</v>
      </c>
      <c r="CB86" s="280">
        <v>1.4</v>
      </c>
      <c r="CC86" s="280">
        <v>1.2</v>
      </c>
      <c r="CD86" s="392">
        <v>1</v>
      </c>
      <c r="CE86" s="297"/>
      <c r="CF86" s="297"/>
      <c r="CG86" s="297"/>
      <c r="CH86" s="297"/>
    </row>
    <row r="87" spans="1:86" ht="12.75" customHeight="1" x14ac:dyDescent="0.2">
      <c r="A87" s="355" t="s">
        <v>217</v>
      </c>
      <c r="B87" s="362">
        <f t="shared" si="1"/>
        <v>1E-3</v>
      </c>
      <c r="F87" s="283" t="s">
        <v>657</v>
      </c>
      <c r="P87" s="283"/>
      <c r="Y87" s="367" t="s">
        <v>847</v>
      </c>
      <c r="Z87" s="367">
        <f>IF('coût alimentation'!$B$6=$Y$87,12,0)</f>
        <v>0</v>
      </c>
      <c r="AA87" s="367">
        <f>IF('coût alimentation'!$B$6=$Y$87,12,0)</f>
        <v>0</v>
      </c>
      <c r="AB87" s="367">
        <f>IF('coût alimentation'!$B$6=$Y$87,12,0)</f>
        <v>0</v>
      </c>
      <c r="AC87" s="367">
        <f>IF('coût alimentation'!$B$6=$Y$87,12,0)</f>
        <v>0</v>
      </c>
      <c r="AD87" s="367">
        <f>IF('coût alimentation'!$B$6=$Y$87,12,0)</f>
        <v>0</v>
      </c>
      <c r="AE87" s="367">
        <f>IF('coût alimentation'!$B$6=$Y$87,12,0)</f>
        <v>0</v>
      </c>
      <c r="AF87" s="367">
        <f>IF('coût alimentation'!$B$6=$Y$87,12,0)</f>
        <v>0</v>
      </c>
      <c r="AG87" s="367">
        <f>IF('coût alimentation'!$B$6=$Y$87,12,0)</f>
        <v>0</v>
      </c>
      <c r="BB87" s="369" t="s">
        <v>438</v>
      </c>
      <c r="BC87" s="344" t="s">
        <v>160</v>
      </c>
      <c r="BD87" s="344" t="s">
        <v>712</v>
      </c>
      <c r="BE87" s="370">
        <v>7.2</v>
      </c>
      <c r="BF87" s="370">
        <v>6</v>
      </c>
      <c r="BG87" s="370">
        <v>4</v>
      </c>
      <c r="BH87" s="370">
        <v>2</v>
      </c>
      <c r="BI87" s="370">
        <v>1.2</v>
      </c>
      <c r="BJ87" s="370">
        <v>0.6</v>
      </c>
      <c r="BK87" s="371">
        <v>0</v>
      </c>
      <c r="BL87" s="305"/>
      <c r="BM87" s="332" t="str">
        <f t="shared" si="7"/>
        <v>Foin</v>
      </c>
      <c r="BN87" s="332">
        <f t="array" ref="BN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36 et plus],MATCH(ChoixRationBisons&amp;$BM87,Règles_bison[Ration]&amp;Règles_bison[Aliment],0)),0),0)*TotalBisonnes*NbreJoursNourrirBisonsDaims)</f>
        <v>0</v>
      </c>
      <c r="BO87" s="332">
        <f t="array" ref="BO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24-36],MATCH(ChoixRationBisons&amp;$BM87,Règles_bison[Ration]&amp;Règles_bison[Aliment],0)),0),0)*TotalBisonsFemelles_24_36_mois*NbreJoursNourrirBisonsDaims)</f>
        <v>0</v>
      </c>
      <c r="BP87" s="332">
        <f t="array" ref="BP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18-24],MATCH(ChoixRationBisons&amp;$BM87,Règles_bison[Ration]&amp;Règles_bison[Aliment],0)),0),0)*TotalBisonsFemelles_18_24_mois*NbreJoursNourrirBisonsDaims)</f>
        <v>0</v>
      </c>
      <c r="BQ87" s="332">
        <f t="array" ref="BQ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12-18],MATCH(ChoixRationBisons&amp;$BM87,Règles_bison[Ration]&amp;Règles_bison[Aliment],0)),0),0)*TotalBisonsFemelles_12_18_mois*NbreJoursNourrirBisonsDaims)</f>
        <v>0</v>
      </c>
      <c r="BR87" s="332">
        <f t="array" ref="BR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6-12],MATCH(ChoixRationBisons&amp;$BM87,Règles_bison[Ration]&amp;Règles_bison[Aliment],0)),0),0)*TotalBisonsFemelles_6_12_mois*NbreJoursNourrirBisonsDaims)</f>
        <v>0</v>
      </c>
      <c r="BS87" s="332">
        <f t="array" ref="BS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3-6],MATCH(ChoixRationBisons&amp;$BM87,Règles_bison[Ration]&amp;Règles_bison[Aliment],0)),0),0)*TotalBisonsFemelles_3_6_mois*NbreJoursNourrirBisonsDaims)</f>
        <v>0</v>
      </c>
      <c r="BT87" s="332">
        <f t="array" ref="BT87">IF(Ration_hivernale_complète_bisons[somme]&gt;0,0,IFERROR(IF(OR(AND(INDEX(Règles_bison[Specificite],MATCH(ChoixRationBisons&amp;$BM87,Règles_bison[Ration]&amp;Règles_bison[Aliment],0))="s1",IF($BM87=ChoixSpécificité1Bisons,1)),
INDEX(Règles_bison[Specificite],MATCH(ChoixRationBisons&amp;$BM87,Règles_bison[Ration]&amp;Règles_bison[Aliment],0))="c"),
INDEX(Règles_bison[Valeur 0-3],MATCH(ChoixRationBisons&amp;$BM87,Règles_bison[Ration]&amp;Règles_bison[Aliment],0)),0),0)*TotalBisonsFemelles_0_3_mois*NbreJoursNourrirBisonsDaims)</f>
        <v>0</v>
      </c>
      <c r="BU87" s="332">
        <f t="shared" si="6"/>
        <v>0</v>
      </c>
      <c r="BV87" s="282"/>
      <c r="BW87" s="282"/>
      <c r="BX87" s="355" t="s">
        <v>476</v>
      </c>
      <c r="BY87" s="280" t="s">
        <v>730</v>
      </c>
      <c r="BZ87" s="280" t="s">
        <v>711</v>
      </c>
      <c r="CA87" s="280">
        <v>0.08</v>
      </c>
      <c r="CB87" s="280">
        <v>0.04</v>
      </c>
      <c r="CC87" s="280">
        <v>0.04</v>
      </c>
      <c r="CD87" s="392">
        <v>0.04</v>
      </c>
      <c r="CE87" s="297"/>
      <c r="CF87" s="297"/>
      <c r="CG87" s="297"/>
      <c r="CH87" s="297"/>
    </row>
    <row r="88" spans="1:86" ht="12.75" customHeight="1" x14ac:dyDescent="0.2">
      <c r="A88" s="355" t="s">
        <v>218</v>
      </c>
      <c r="B88" s="362">
        <f t="shared" si="1"/>
        <v>1E-3</v>
      </c>
      <c r="F88" s="280" t="s">
        <v>503</v>
      </c>
      <c r="G88" s="280" t="s">
        <v>506</v>
      </c>
      <c r="H88" s="280" t="s">
        <v>507</v>
      </c>
      <c r="I88" s="280" t="s">
        <v>508</v>
      </c>
      <c r="J88" s="280" t="s">
        <v>509</v>
      </c>
      <c r="K88" s="280" t="s">
        <v>634</v>
      </c>
      <c r="L88" s="280" t="s">
        <v>511</v>
      </c>
      <c r="Y88" s="367" t="s">
        <v>848</v>
      </c>
      <c r="Z88" s="367">
        <f>IF('coût alimentation'!$B$6=$Y$88,13,0)</f>
        <v>0</v>
      </c>
      <c r="AA88" s="367">
        <f>IF('coût alimentation'!$B$6=$Y$88,13,0)</f>
        <v>0</v>
      </c>
      <c r="AB88" s="367">
        <f>IF('coût alimentation'!$B$6=$Y$88,13,0)</f>
        <v>0</v>
      </c>
      <c r="AC88" s="367">
        <f>IF('coût alimentation'!$B$6=$Y$88,13,0)</f>
        <v>0</v>
      </c>
      <c r="AD88" s="367">
        <f>IF('coût alimentation'!$B$6=$Y$88,13,0)</f>
        <v>0</v>
      </c>
      <c r="AE88" s="367">
        <f>IF('coût alimentation'!$B$6=$Y$88,13,0)</f>
        <v>0</v>
      </c>
      <c r="AF88" s="367">
        <f>IF('coût alimentation'!$B$6=$Y$88,13,0)</f>
        <v>0</v>
      </c>
      <c r="AG88" s="367">
        <f>IF('coût alimentation'!$B$6=$Y$88,13,0)</f>
        <v>0</v>
      </c>
      <c r="BB88" s="369" t="s">
        <v>438</v>
      </c>
      <c r="BC88" s="344" t="s">
        <v>47</v>
      </c>
      <c r="BD88" s="344" t="s">
        <v>712</v>
      </c>
      <c r="BE88" s="370">
        <v>7.2</v>
      </c>
      <c r="BF88" s="370">
        <v>6</v>
      </c>
      <c r="BG88" s="370">
        <v>4</v>
      </c>
      <c r="BH88" s="370">
        <v>2</v>
      </c>
      <c r="BI88" s="370">
        <v>1.2</v>
      </c>
      <c r="BJ88" s="370">
        <v>0.6</v>
      </c>
      <c r="BK88" s="371">
        <v>0</v>
      </c>
      <c r="BL88" s="305"/>
      <c r="BM88" s="332" t="str">
        <f t="shared" si="7"/>
        <v>Haricot vert</v>
      </c>
      <c r="BN88" s="332">
        <f t="array" ref="BN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36 et plus],MATCH(ChoixRationBisons&amp;$BM88,Règles_bison[Ration]&amp;Règles_bison[Aliment],0)),0),0)*TotalBisonnes*NbreJoursNourrirBisonsDaims)</f>
        <v>0</v>
      </c>
      <c r="BO88" s="332">
        <f t="array" ref="BO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24-36],MATCH(ChoixRationBisons&amp;$BM88,Règles_bison[Ration]&amp;Règles_bison[Aliment],0)),0),0)*TotalBisonsFemelles_24_36_mois*NbreJoursNourrirBisonsDaims)</f>
        <v>0</v>
      </c>
      <c r="BP88" s="332">
        <f t="array" ref="BP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18-24],MATCH(ChoixRationBisons&amp;$BM88,Règles_bison[Ration]&amp;Règles_bison[Aliment],0)),0),0)*TotalBisonsFemelles_18_24_mois*NbreJoursNourrirBisonsDaims)</f>
        <v>0</v>
      </c>
      <c r="BQ88" s="332">
        <f t="array" ref="BQ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12-18],MATCH(ChoixRationBisons&amp;$BM88,Règles_bison[Ration]&amp;Règles_bison[Aliment],0)),0),0)*TotalBisonsFemelles_12_18_mois*NbreJoursNourrirBisonsDaims)</f>
        <v>0</v>
      </c>
      <c r="BR88" s="332">
        <f t="array" ref="BR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6-12],MATCH(ChoixRationBisons&amp;$BM88,Règles_bison[Ration]&amp;Règles_bison[Aliment],0)),0),0)*TotalBisonsFemelles_6_12_mois*NbreJoursNourrirBisonsDaims)</f>
        <v>0</v>
      </c>
      <c r="BS88" s="332">
        <f t="array" ref="BS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3-6],MATCH(ChoixRationBisons&amp;$BM88,Règles_bison[Ration]&amp;Règles_bison[Aliment],0)),0),0)*TotalBisonsFemelles_3_6_mois*NbreJoursNourrirBisonsDaims)</f>
        <v>0</v>
      </c>
      <c r="BT88" s="332">
        <f t="array" ref="BT88">IF(Ration_hivernale_complète_bisons[somme]&gt;0,0,IFERROR(IF(OR(AND(INDEX(Règles_bison[Specificite],MATCH(ChoixRationBisons&amp;$BM88,Règles_bison[Ration]&amp;Règles_bison[Aliment],0))="s1",IF($BM88=ChoixSpécificité1Bisons,1)),
INDEX(Règles_bison[Specificite],MATCH(ChoixRationBisons&amp;$BM88,Règles_bison[Ration]&amp;Règles_bison[Aliment],0))="c"),
INDEX(Règles_bison[Valeur 0-3],MATCH(ChoixRationBisons&amp;$BM88,Règles_bison[Ration]&amp;Règles_bison[Aliment],0)),0),0)*TotalBisonsFemelles_0_3_mois*NbreJoursNourrirBisonsDaims)</f>
        <v>0</v>
      </c>
      <c r="BU88" s="332">
        <f t="shared" si="6"/>
        <v>0</v>
      </c>
      <c r="BV88" s="282"/>
      <c r="BW88" s="282"/>
      <c r="BX88" s="355" t="s">
        <v>476</v>
      </c>
      <c r="BY88" s="280" t="s">
        <v>444</v>
      </c>
      <c r="BZ88" s="280" t="s">
        <v>711</v>
      </c>
      <c r="CA88" s="280">
        <v>20</v>
      </c>
      <c r="CB88" s="280">
        <v>12</v>
      </c>
      <c r="CC88" s="280">
        <v>8</v>
      </c>
      <c r="CD88" s="392">
        <v>4</v>
      </c>
      <c r="CE88" s="297"/>
      <c r="CF88" s="297"/>
      <c r="CG88" s="297"/>
      <c r="CH88" s="297"/>
    </row>
    <row r="89" spans="1:86" ht="12.75" customHeight="1" x14ac:dyDescent="0.2">
      <c r="A89" s="355" t="s">
        <v>219</v>
      </c>
      <c r="B89" s="362">
        <f t="shared" si="1"/>
        <v>1E-3</v>
      </c>
      <c r="F89" s="280" t="s">
        <v>160</v>
      </c>
      <c r="G89" s="280" t="s">
        <v>635</v>
      </c>
      <c r="H89" s="280" t="s">
        <v>664</v>
      </c>
      <c r="I89" s="311" t="s">
        <v>629</v>
      </c>
      <c r="J89" s="311" t="s">
        <v>674</v>
      </c>
      <c r="K89" s="311" t="s">
        <v>672</v>
      </c>
      <c r="L89" s="311" t="s">
        <v>659</v>
      </c>
      <c r="O89" s="229" t="s">
        <v>787</v>
      </c>
      <c r="P89" s="229"/>
      <c r="Q89" s="229"/>
      <c r="R89" s="229"/>
      <c r="S89" s="229"/>
      <c r="T89" s="229"/>
      <c r="U89" s="229"/>
      <c r="V89" s="229"/>
      <c r="W89" s="229"/>
      <c r="Y89" s="367" t="s">
        <v>849</v>
      </c>
      <c r="Z89" s="367">
        <f>IF('coût alimentation'!$B$6=$Y$89,14,0)</f>
        <v>0</v>
      </c>
      <c r="AA89" s="367">
        <f>IF('coût alimentation'!$B$6=$Y$89,14,0)</f>
        <v>0</v>
      </c>
      <c r="AB89" s="367">
        <f>IF('coût alimentation'!$B$6=$Y$89,14,0)</f>
        <v>0</v>
      </c>
      <c r="AC89" s="367">
        <f>IF('coût alimentation'!$B$6=$Y$89,14,0)</f>
        <v>0</v>
      </c>
      <c r="AD89" s="367">
        <f>IF('coût alimentation'!$B$6=$Y$89,14,0)</f>
        <v>0</v>
      </c>
      <c r="AE89" s="367">
        <f>IF('coût alimentation'!$B$6=$Y$89,14,0)</f>
        <v>0</v>
      </c>
      <c r="AF89" s="367">
        <f>IF('coût alimentation'!$B$6=$Y$89,14,0)</f>
        <v>0</v>
      </c>
      <c r="AG89" s="367">
        <f>IF('coût alimentation'!$B$6=$Y$89,14,0)</f>
        <v>0</v>
      </c>
      <c r="BB89" s="369" t="s">
        <v>438</v>
      </c>
      <c r="BC89" s="344" t="s">
        <v>732</v>
      </c>
      <c r="BD89" s="344" t="s">
        <v>713</v>
      </c>
      <c r="BE89" s="370">
        <v>4.8</v>
      </c>
      <c r="BF89" s="370">
        <v>4</v>
      </c>
      <c r="BG89" s="370">
        <v>4</v>
      </c>
      <c r="BH89" s="370">
        <v>4</v>
      </c>
      <c r="BI89" s="370">
        <v>2</v>
      </c>
      <c r="BJ89" s="370">
        <v>1.2</v>
      </c>
      <c r="BK89" s="371">
        <v>0</v>
      </c>
      <c r="BL89" s="305"/>
      <c r="BM89" s="332" t="str">
        <f t="shared" si="7"/>
        <v>Lentille</v>
      </c>
      <c r="BN89" s="332">
        <f t="array" ref="BN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36 et plus],MATCH(ChoixRationBisons&amp;$BM89,Règles_bison[Ration]&amp;Règles_bison[Aliment],0)),0),0)*TotalBisonnes*NbreJoursNourrirBisonsDaims)</f>
        <v>0</v>
      </c>
      <c r="BO89" s="332">
        <f t="array" ref="BO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24-36],MATCH(ChoixRationBisons&amp;$BM89,Règles_bison[Ration]&amp;Règles_bison[Aliment],0)),0),0)*TotalBisonsFemelles_24_36_mois*NbreJoursNourrirBisonsDaims)</f>
        <v>0</v>
      </c>
      <c r="BP89" s="332">
        <f t="array" ref="BP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18-24],MATCH(ChoixRationBisons&amp;$BM89,Règles_bison[Ration]&amp;Règles_bison[Aliment],0)),0),0)*TotalBisonsFemelles_18_24_mois*NbreJoursNourrirBisonsDaims)</f>
        <v>0</v>
      </c>
      <c r="BQ89" s="332">
        <f t="array" ref="BQ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12-18],MATCH(ChoixRationBisons&amp;$BM89,Règles_bison[Ration]&amp;Règles_bison[Aliment],0)),0),0)*TotalBisonsFemelles_12_18_mois*NbreJoursNourrirBisonsDaims)</f>
        <v>0</v>
      </c>
      <c r="BR89" s="332">
        <f t="array" ref="BR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6-12],MATCH(ChoixRationBisons&amp;$BM89,Règles_bison[Ration]&amp;Règles_bison[Aliment],0)),0),0)*TotalBisonsFemelles_6_12_mois*NbreJoursNourrirBisonsDaims)</f>
        <v>0</v>
      </c>
      <c r="BS89" s="332">
        <f t="array" ref="BS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3-6],MATCH(ChoixRationBisons&amp;$BM89,Règles_bison[Ration]&amp;Règles_bison[Aliment],0)),0),0)*TotalBisonsFemelles_3_6_mois*NbreJoursNourrirBisonsDaims)</f>
        <v>0</v>
      </c>
      <c r="BT89" s="332">
        <f t="array" ref="BT89">IF(Ration_hivernale_complète_bisons[somme]&gt;0,0,IFERROR(IF(OR(AND(INDEX(Règles_bison[Specificite],MATCH(ChoixRationBisons&amp;$BM89,Règles_bison[Ration]&amp;Règles_bison[Aliment],0))="s1",IF($BM89=ChoixSpécificité1Bisons,1)),
INDEX(Règles_bison[Specificite],MATCH(ChoixRationBisons&amp;$BM89,Règles_bison[Ration]&amp;Règles_bison[Aliment],0))="c"),
INDEX(Règles_bison[Valeur 0-3],MATCH(ChoixRationBisons&amp;$BM89,Règles_bison[Ration]&amp;Règles_bison[Aliment],0)),0),0)*TotalBisonsFemelles_0_3_mois*NbreJoursNourrirBisonsDaims)</f>
        <v>0</v>
      </c>
      <c r="BU89" s="332">
        <f t="shared" si="6"/>
        <v>0</v>
      </c>
      <c r="BV89" s="282"/>
      <c r="BW89" s="282"/>
      <c r="BX89" s="355" t="s">
        <v>477</v>
      </c>
      <c r="BY89" s="280" t="s">
        <v>434</v>
      </c>
      <c r="BZ89" s="280" t="s">
        <v>735</v>
      </c>
      <c r="CA89" s="280">
        <v>0</v>
      </c>
      <c r="CB89" s="280">
        <v>0</v>
      </c>
      <c r="CC89" s="280">
        <v>0</v>
      </c>
      <c r="CD89" s="392">
        <v>3</v>
      </c>
      <c r="CE89" s="297"/>
      <c r="CF89" s="297"/>
      <c r="CG89" s="297"/>
      <c r="CH89" s="297"/>
    </row>
    <row r="90" spans="1:86" ht="12.75" customHeight="1" x14ac:dyDescent="0.2">
      <c r="A90" s="355" t="s">
        <v>95</v>
      </c>
      <c r="B90" s="362">
        <f t="shared" si="1"/>
        <v>1E-3</v>
      </c>
      <c r="F90" s="280" t="s">
        <v>383</v>
      </c>
      <c r="G90" s="280" t="s">
        <v>636</v>
      </c>
      <c r="H90" s="280" t="s">
        <v>664</v>
      </c>
      <c r="I90" s="311" t="s">
        <v>629</v>
      </c>
      <c r="J90" s="311" t="s">
        <v>674</v>
      </c>
      <c r="K90" s="311" t="s">
        <v>672</v>
      </c>
      <c r="L90" s="311" t="s">
        <v>659</v>
      </c>
      <c r="O90" s="368" t="s">
        <v>788</v>
      </c>
      <c r="P90" s="368" t="s">
        <v>65</v>
      </c>
      <c r="Q90" s="368" t="s">
        <v>67</v>
      </c>
      <c r="R90" s="368" t="s">
        <v>66</v>
      </c>
      <c r="S90" s="368" t="s">
        <v>320</v>
      </c>
      <c r="T90" s="368" t="s">
        <v>369</v>
      </c>
      <c r="U90" s="368" t="s">
        <v>763</v>
      </c>
      <c r="V90" s="368" t="s">
        <v>764</v>
      </c>
      <c r="W90" s="368" t="s">
        <v>7</v>
      </c>
      <c r="Y90" s="367" t="s">
        <v>850</v>
      </c>
      <c r="Z90" s="367">
        <f>IF('coût alimentation'!$B$6=$Y$90,15,0)</f>
        <v>0</v>
      </c>
      <c r="AA90" s="367">
        <f>IF('coût alimentation'!$B$6=$Y$90,15,0)</f>
        <v>0</v>
      </c>
      <c r="AB90" s="367">
        <f>IF('coût alimentation'!$B$6=$Y$90,15,0)</f>
        <v>0</v>
      </c>
      <c r="AC90" s="367">
        <f>IF('coût alimentation'!$B$6=$Y$90,15,0)</f>
        <v>0</v>
      </c>
      <c r="AD90" s="367">
        <f>IF('coût alimentation'!$B$6=$Y$90,15,0)</f>
        <v>0</v>
      </c>
      <c r="AE90" s="367">
        <f>IF('coût alimentation'!$B$6=$Y$90,15,0)</f>
        <v>0</v>
      </c>
      <c r="AF90" s="367">
        <f>IF('coût alimentation'!$B$6=$Y$90,15,0)</f>
        <v>0</v>
      </c>
      <c r="AG90" s="367">
        <f>IF('coût alimentation'!$B$6=$Y$90,15,0)</f>
        <v>0</v>
      </c>
      <c r="BB90" s="369" t="s">
        <v>438</v>
      </c>
      <c r="BC90" s="344" t="s">
        <v>426</v>
      </c>
      <c r="BD90" s="344" t="s">
        <v>713</v>
      </c>
      <c r="BE90" s="370">
        <v>4.8</v>
      </c>
      <c r="BF90" s="370">
        <v>4</v>
      </c>
      <c r="BG90" s="370">
        <v>4</v>
      </c>
      <c r="BH90" s="370">
        <v>4</v>
      </c>
      <c r="BI90" s="370">
        <v>2</v>
      </c>
      <c r="BJ90" s="370">
        <v>1.2</v>
      </c>
      <c r="BK90" s="371">
        <v>0</v>
      </c>
      <c r="BL90" s="305"/>
      <c r="BM90" s="332" t="str">
        <f t="shared" si="7"/>
        <v>Maïs ensilé</v>
      </c>
      <c r="BN90" s="332">
        <f t="array" ref="BN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36 et plus],MATCH(ChoixRationBisons&amp;$BM90,Règles_bison[Ration]&amp;Règles_bison[Aliment],0)),0),0)*TotalBisonnes*NbreJoursNourrirBisonsDaims)</f>
        <v>0</v>
      </c>
      <c r="BO90" s="332">
        <f t="array" ref="BO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24-36],MATCH(ChoixRationBisons&amp;$BM90,Règles_bison[Ration]&amp;Règles_bison[Aliment],0)),0),0)*TotalBisonsFemelles_24_36_mois*NbreJoursNourrirBisonsDaims)</f>
        <v>0</v>
      </c>
      <c r="BP90" s="332">
        <f t="array" ref="BP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18-24],MATCH(ChoixRationBisons&amp;$BM90,Règles_bison[Ration]&amp;Règles_bison[Aliment],0)),0),0)*TotalBisonsFemelles_18_24_mois*NbreJoursNourrirBisonsDaims)</f>
        <v>0</v>
      </c>
      <c r="BQ90" s="332">
        <f t="array" ref="BQ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12-18],MATCH(ChoixRationBisons&amp;$BM90,Règles_bison[Ration]&amp;Règles_bison[Aliment],0)),0),0)*TotalBisonsFemelles_12_18_mois*NbreJoursNourrirBisonsDaims)</f>
        <v>0</v>
      </c>
      <c r="BR90" s="332">
        <f t="array" ref="BR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6-12],MATCH(ChoixRationBisons&amp;$BM90,Règles_bison[Ration]&amp;Règles_bison[Aliment],0)),0),0)*TotalBisonsFemelles_6_12_mois*NbreJoursNourrirBisonsDaims)</f>
        <v>0</v>
      </c>
      <c r="BS90" s="332">
        <f t="array" ref="BS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3-6],MATCH(ChoixRationBisons&amp;$BM90,Règles_bison[Ration]&amp;Règles_bison[Aliment],0)),0),0)*TotalBisonsFemelles_3_6_mois*NbreJoursNourrirBisonsDaims)</f>
        <v>0</v>
      </c>
      <c r="BT90" s="332">
        <f t="array" ref="BT90">IF(Ration_hivernale_complète_bisons[somme]&gt;0,0,IFERROR(IF(OR(AND(INDEX(Règles_bison[Specificite],MATCH(ChoixRationBisons&amp;$BM90,Règles_bison[Ration]&amp;Règles_bison[Aliment],0))="s1",IF($BM90=ChoixSpécificité1Bisons,1)),
INDEX(Règles_bison[Specificite],MATCH(ChoixRationBisons&amp;$BM90,Règles_bison[Ration]&amp;Règles_bison[Aliment],0))="c"),
INDEX(Règles_bison[Valeur 0-3],MATCH(ChoixRationBisons&amp;$BM90,Règles_bison[Ration]&amp;Règles_bison[Aliment],0)),0),0)*TotalBisonsFemelles_0_3_mois*NbreJoursNourrirBisonsDaims)</f>
        <v>0</v>
      </c>
      <c r="BU90" s="332">
        <f t="shared" si="6"/>
        <v>0</v>
      </c>
      <c r="BV90" s="282"/>
      <c r="BW90" s="282"/>
      <c r="BX90" s="355" t="s">
        <v>477</v>
      </c>
      <c r="BY90" s="280" t="s">
        <v>124</v>
      </c>
      <c r="BZ90" s="280" t="s">
        <v>711</v>
      </c>
      <c r="CA90" s="280">
        <v>1.2</v>
      </c>
      <c r="CB90" s="280">
        <v>1.2</v>
      </c>
      <c r="CC90" s="280">
        <v>0.8</v>
      </c>
      <c r="CD90" s="392">
        <v>2.8</v>
      </c>
      <c r="CE90" s="297"/>
      <c r="CF90" s="297"/>
      <c r="CG90" s="297"/>
      <c r="CH90" s="297"/>
    </row>
    <row r="91" spans="1:86" ht="12.75" customHeight="1" x14ac:dyDescent="0.2">
      <c r="A91" s="355" t="s">
        <v>96</v>
      </c>
      <c r="B91" s="362">
        <f t="shared" si="1"/>
        <v>1E-3</v>
      </c>
      <c r="F91" s="280" t="s">
        <v>283</v>
      </c>
      <c r="G91" s="280" t="s">
        <v>636</v>
      </c>
      <c r="H91" s="280" t="s">
        <v>664</v>
      </c>
      <c r="I91" s="311" t="s">
        <v>629</v>
      </c>
      <c r="J91" s="311" t="s">
        <v>674</v>
      </c>
      <c r="K91" s="311" t="s">
        <v>672</v>
      </c>
      <c r="L91" s="311" t="s">
        <v>659</v>
      </c>
      <c r="O91" s="367" t="s">
        <v>773</v>
      </c>
      <c r="P91" s="367" t="e">
        <f>IF(ChoixExpèceAuPré="",0,SUMIF(ChoixEspèceAuPré,Bovins,NbreMâles_0_3MoisAuPréEté))</f>
        <v>#REF!</v>
      </c>
      <c r="Q91" s="367" t="e">
        <f>IF(ChoixExpèceAuPré="",0,SUMIF(ChoixEspèceAuPré,Ovins,NbreMâles_0_3MoisAuPréEté))</f>
        <v>#REF!</v>
      </c>
      <c r="R91" s="367" t="e">
        <f>IF(ChoixExpèceAuPré="",0,SUMIF(ChoixEspèceAuPré,Caprins,NbreMâles_0_3MoisAuPréEté))</f>
        <v>#REF!</v>
      </c>
      <c r="S91" s="367" t="e">
        <f>IF(ChoixExpèceAuPré="",0,SUMIF(ChoixEspèceAuPré,Bisons,NbreMâles_0_3MoisAuPréEté))</f>
        <v>#REF!</v>
      </c>
      <c r="T91" s="367" t="e">
        <f>IF(ChoixExpèceAuPré="",0,SUMIF(ChoixEspèceAuPré,Daims,NbreMâles_0_3MoisAuPréEté))</f>
        <v>#REF!</v>
      </c>
      <c r="U91" s="367" t="e">
        <f>IF(ChoixExpèceAuPré="",0,SUMIF(ChoixEspèceAuPré,ChevauxSelle,NbreMâles_0_3MoisAuPréEté))</f>
        <v>#REF!</v>
      </c>
      <c r="V91" s="367" t="e">
        <f>IF(ChoixExpèceAuPré="",0,SUMIF(ChoixEspèceAuPré,ChevauxTrait,NbreMâles_0_3MoisAuPréEté))</f>
        <v>#REF!</v>
      </c>
      <c r="W91" s="367" t="e">
        <f>IF(ChoixExpèceAuPré="",0,SUMIF(ChoixEspèceAuPré,Poneys,NbreMâles_0_3MoisAuPréEté))</f>
        <v>#REF!</v>
      </c>
      <c r="Y91" s="367" t="s">
        <v>851</v>
      </c>
      <c r="Z91" s="367">
        <f>IF('coût alimentation'!$B$6=$Y$91,21,0)</f>
        <v>0</v>
      </c>
      <c r="AA91" s="367">
        <f>IF('coût alimentation'!$B$6=$Y$91,21,0)</f>
        <v>0</v>
      </c>
      <c r="AB91" s="367">
        <f>IF('coût alimentation'!$B$6=$Y$91,21,0)</f>
        <v>0</v>
      </c>
      <c r="AC91" s="367">
        <f>IF('coût alimentation'!$B$6=$Y$91,21,0)</f>
        <v>0</v>
      </c>
      <c r="AD91" s="367">
        <f>IF('coût alimentation'!$B$6=$Y$91,21,0)</f>
        <v>0</v>
      </c>
      <c r="AE91" s="367">
        <f>IF('coût alimentation'!$B$6=$Y$91,21,0)</f>
        <v>0</v>
      </c>
      <c r="AF91" s="367">
        <f>IF('coût alimentation'!$B$6=$Y$91,21,0)</f>
        <v>0</v>
      </c>
      <c r="AG91" s="367">
        <f>IF('coût alimentation'!$B$6=$Y$91,21,0)</f>
        <v>0</v>
      </c>
      <c r="BB91" s="369" t="s">
        <v>438</v>
      </c>
      <c r="BC91" s="344" t="s">
        <v>42</v>
      </c>
      <c r="BD91" s="344" t="s">
        <v>713</v>
      </c>
      <c r="BE91" s="370">
        <v>4.8</v>
      </c>
      <c r="BF91" s="370">
        <v>4</v>
      </c>
      <c r="BG91" s="370">
        <v>4</v>
      </c>
      <c r="BH91" s="370">
        <v>4</v>
      </c>
      <c r="BI91" s="370">
        <v>2</v>
      </c>
      <c r="BJ91" s="370">
        <v>1.2</v>
      </c>
      <c r="BK91" s="371">
        <v>0</v>
      </c>
      <c r="BL91" s="305"/>
      <c r="BM91" s="332" t="str">
        <f t="shared" si="7"/>
        <v>Maïs grain</v>
      </c>
      <c r="BN91" s="332">
        <f t="array" ref="BN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36 et plus],MATCH(ChoixRationBisons&amp;$BM91,Règles_bison[Ration]&amp;Règles_bison[Aliment],0)),0),0)*TotalBisonnes*NbreJoursNourrirBisonsDaims)</f>
        <v>0</v>
      </c>
      <c r="BO91" s="332">
        <f t="array" ref="BO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24-36],MATCH(ChoixRationBisons&amp;$BM91,Règles_bison[Ration]&amp;Règles_bison[Aliment],0)),0),0)*TotalBisonsFemelles_24_36_mois*NbreJoursNourrirBisonsDaims)</f>
        <v>0</v>
      </c>
      <c r="BP91" s="332">
        <f t="array" ref="BP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18-24],MATCH(ChoixRationBisons&amp;$BM91,Règles_bison[Ration]&amp;Règles_bison[Aliment],0)),0),0)*TotalBisonsFemelles_18_24_mois*NbreJoursNourrirBisonsDaims)</f>
        <v>0</v>
      </c>
      <c r="BQ91" s="332">
        <f t="array" ref="BQ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12-18],MATCH(ChoixRationBisons&amp;$BM91,Règles_bison[Ration]&amp;Règles_bison[Aliment],0)),0),0)*TotalBisonsFemelles_12_18_mois*NbreJoursNourrirBisonsDaims)</f>
        <v>0</v>
      </c>
      <c r="BR91" s="332">
        <f t="array" ref="BR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6-12],MATCH(ChoixRationBisons&amp;$BM91,Règles_bison[Ration]&amp;Règles_bison[Aliment],0)),0),0)*TotalBisonsFemelles_6_12_mois*NbreJoursNourrirBisonsDaims)</f>
        <v>0</v>
      </c>
      <c r="BS91" s="332">
        <f t="array" ref="BS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3-6],MATCH(ChoixRationBisons&amp;$BM91,Règles_bison[Ration]&amp;Règles_bison[Aliment],0)),0),0)*TotalBisonsFemelles_3_6_mois*NbreJoursNourrirBisonsDaims)</f>
        <v>0</v>
      </c>
      <c r="BT91" s="332">
        <f t="array" ref="BT91">IF(Ration_hivernale_complète_bisons[somme]&gt;0,0,IFERROR(IF(OR(AND(INDEX(Règles_bison[Specificite],MATCH(ChoixRationBisons&amp;$BM91,Règles_bison[Ration]&amp;Règles_bison[Aliment],0))="s1",IF($BM91=ChoixSpécificité1Bisons,1)),
INDEX(Règles_bison[Specificite],MATCH(ChoixRationBisons&amp;$BM91,Règles_bison[Ration]&amp;Règles_bison[Aliment],0))="c"),
INDEX(Règles_bison[Valeur 0-3],MATCH(ChoixRationBisons&amp;$BM91,Règles_bison[Ration]&amp;Règles_bison[Aliment],0)),0),0)*TotalBisonsFemelles_0_3_mois*NbreJoursNourrirBisonsDaims)</f>
        <v>0</v>
      </c>
      <c r="BU91" s="332">
        <f t="shared" si="6"/>
        <v>0</v>
      </c>
      <c r="BV91" s="282"/>
      <c r="BW91" s="282"/>
      <c r="BX91" s="355" t="s">
        <v>477</v>
      </c>
      <c r="BY91" s="280" t="s">
        <v>382</v>
      </c>
      <c r="BZ91" s="280" t="s">
        <v>711</v>
      </c>
      <c r="CA91" s="280">
        <v>10</v>
      </c>
      <c r="CB91" s="280">
        <v>8</v>
      </c>
      <c r="CC91" s="280">
        <v>6</v>
      </c>
      <c r="CD91" s="392">
        <v>0</v>
      </c>
      <c r="CE91" s="297"/>
      <c r="CF91" s="297"/>
      <c r="CG91" s="297"/>
      <c r="CH91" s="297"/>
    </row>
    <row r="92" spans="1:86" ht="12.75" customHeight="1" x14ac:dyDescent="0.2">
      <c r="A92" s="355" t="s">
        <v>94</v>
      </c>
      <c r="B92" s="362">
        <f t="shared" si="1"/>
        <v>1E-3</v>
      </c>
      <c r="F92" s="280" t="s">
        <v>384</v>
      </c>
      <c r="G92" s="280" t="s">
        <v>635</v>
      </c>
      <c r="H92" s="280" t="s">
        <v>664</v>
      </c>
      <c r="I92" s="311" t="s">
        <v>629</v>
      </c>
      <c r="J92" s="311" t="s">
        <v>674</v>
      </c>
      <c r="K92" s="311" t="s">
        <v>672</v>
      </c>
      <c r="L92" s="311" t="s">
        <v>659</v>
      </c>
      <c r="O92" s="367" t="s">
        <v>774</v>
      </c>
      <c r="P92" s="367" t="e">
        <f>IF(ChoixExpèceAuPré="",0,SUMIF(ChoixEspèceAuPré,Bovins,NbreFemelles_0_3MoisAuPréEté))</f>
        <v>#REF!</v>
      </c>
      <c r="Q92" s="367" t="e">
        <f>IF(ChoixExpèceAuPré="",0,SUMIF(ChoixEspèceAuPré,Ovins,NbreFemelles_0_3MoisAuPréEté))</f>
        <v>#REF!</v>
      </c>
      <c r="R92" s="367" t="e">
        <f>IF(ChoixExpèceAuPré="",0,SUMIF(ChoixEspèceAuPré,Caprins,NbreFemelles_0_3MoisAuPréEté))</f>
        <v>#REF!</v>
      </c>
      <c r="S92" s="367" t="e">
        <f>IF(ChoixExpèceAuPré="",0,SUMIF(ChoixEspèceAuPré,Bisons,NbreFemelles_0_3MoisAuPréEté))</f>
        <v>#REF!</v>
      </c>
      <c r="T92" s="367" t="e">
        <f>IF(ChoixExpèceAuPré="",0,SUMIF(ChoixEspèceAuPré,Daims,NbreFemelles_0_3MoisAuPréEté))</f>
        <v>#REF!</v>
      </c>
      <c r="U92" s="367" t="e">
        <f>IF(ChoixExpèceAuPré="",0,SUMIF(ChoixEspèceAuPré,ChevauxSelle,NbreFemelles_0_3MoisAuPréEté))</f>
        <v>#REF!</v>
      </c>
      <c r="V92" s="367" t="e">
        <f>IF(ChoixExpèceAuPré="",0,SUMIF(ChoixEspèceAuPré,ChevauxTrait,NbreFemelles_0_3MoisAuPréEté))</f>
        <v>#REF!</v>
      </c>
      <c r="W92" s="367" t="e">
        <f>IF(ChoixExpèceAuPré="",0,SUMIF(ChoixEspèceAuPré,Poneys,NbreFemelles_0_3MoisAuPréEté))</f>
        <v>#REF!</v>
      </c>
      <c r="Y92" s="367" t="s">
        <v>852</v>
      </c>
      <c r="Z92" s="367">
        <f>IF('coût alimentation'!$B$6=$Y$92,28,0)</f>
        <v>0</v>
      </c>
      <c r="AA92" s="367">
        <f>IF('coût alimentation'!$B$6=$Y$92,28,0)</f>
        <v>0</v>
      </c>
      <c r="AB92" s="367">
        <f>IF('coût alimentation'!$B$6=$Y$92,28,0)</f>
        <v>0</v>
      </c>
      <c r="AC92" s="367">
        <f>IF('coût alimentation'!$B$6=$Y$92,28,0)</f>
        <v>0</v>
      </c>
      <c r="AD92" s="367">
        <f>IF('coût alimentation'!$B$6=$Y$92,28,0)</f>
        <v>0</v>
      </c>
      <c r="AE92" s="367">
        <f>IF(AND(ChoixChevauxSellePréEté="OUI",'coût alimentation'!$B$6=$Y$92),21,IF(Y92&lt;&gt;'coût alimentation'!$B$6,0,84))</f>
        <v>0</v>
      </c>
      <c r="AF92" s="367">
        <f>IF(AND(ChoixChevauxTraitPréEté="OUI",'coût alimentation'!$B$6=$Y$92),21,IF(Y92&lt;&gt;'coût alimentation'!$B$6,0,84))</f>
        <v>0</v>
      </c>
      <c r="AG92" s="367">
        <f>IF(AND(ChoixPoneysPréEté="OUI",'coût alimentation'!$B$6=$Y$92),21,IF(Y92&lt;&gt;'coût alimentation'!$B$6,0,84))</f>
        <v>0</v>
      </c>
      <c r="BB92" s="369" t="s">
        <v>438</v>
      </c>
      <c r="BC92" s="344" t="s">
        <v>730</v>
      </c>
      <c r="BD92" s="344" t="s">
        <v>711</v>
      </c>
      <c r="BE92" s="370">
        <v>1</v>
      </c>
      <c r="BF92" s="370">
        <v>0.8</v>
      </c>
      <c r="BG92" s="370">
        <v>0.6</v>
      </c>
      <c r="BH92" s="370">
        <v>0.4</v>
      </c>
      <c r="BI92" s="370">
        <v>0.4</v>
      </c>
      <c r="BJ92" s="370">
        <v>0.4</v>
      </c>
      <c r="BK92" s="371">
        <v>0</v>
      </c>
      <c r="BL92" s="305"/>
      <c r="BM92" s="332" t="str">
        <f t="shared" si="7"/>
        <v>Minéraux + vitamines</v>
      </c>
      <c r="BN92" s="332">
        <f t="array" ref="BN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36 et plus],MATCH(ChoixRationBisons&amp;$BM92,Règles_bison[Ration]&amp;Règles_bison[Aliment],0)),0),0)*TotalBisonnes*NbreJoursNourrirBisonsDaims)</f>
        <v>0</v>
      </c>
      <c r="BO92" s="332">
        <f t="array" ref="BO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24-36],MATCH(ChoixRationBisons&amp;$BM92,Règles_bison[Ration]&amp;Règles_bison[Aliment],0)),0),0)*TotalBisonsFemelles_24_36_mois*NbreJoursNourrirBisonsDaims)</f>
        <v>0</v>
      </c>
      <c r="BP92" s="332">
        <f t="array" ref="BP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18-24],MATCH(ChoixRationBisons&amp;$BM92,Règles_bison[Ration]&amp;Règles_bison[Aliment],0)),0),0)*TotalBisonsFemelles_18_24_mois*NbreJoursNourrirBisonsDaims)</f>
        <v>0</v>
      </c>
      <c r="BQ92" s="332">
        <f t="array" ref="BQ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12-18],MATCH(ChoixRationBisons&amp;$BM92,Règles_bison[Ration]&amp;Règles_bison[Aliment],0)),0),0)*TotalBisonsFemelles_12_18_mois*NbreJoursNourrirBisonsDaims)</f>
        <v>0</v>
      </c>
      <c r="BR92" s="332">
        <f t="array" ref="BR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6-12],MATCH(ChoixRationBisons&amp;$BM92,Règles_bison[Ration]&amp;Règles_bison[Aliment],0)),0),0)*TotalBisonsFemelles_6_12_mois*NbreJoursNourrirBisonsDaims)</f>
        <v>0</v>
      </c>
      <c r="BS92" s="332">
        <f t="array" ref="BS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3-6],MATCH(ChoixRationBisons&amp;$BM92,Règles_bison[Ration]&amp;Règles_bison[Aliment],0)),0),0)*TotalBisonsFemelles_3_6_mois*NbreJoursNourrirBisonsDaims)</f>
        <v>0</v>
      </c>
      <c r="BT92" s="332">
        <f t="array" ref="BT92">IF(Ration_hivernale_complète_bisons[somme]&gt;0,0,IFERROR(IF(OR(AND(INDEX(Règles_bison[Specificite],MATCH(ChoixRationBisons&amp;$BM92,Règles_bison[Ration]&amp;Règles_bison[Aliment],0))="s1",IF($BM92=ChoixSpécificité1Bisons,1)),
INDEX(Règles_bison[Specificite],MATCH(ChoixRationBisons&amp;$BM92,Règles_bison[Ration]&amp;Règles_bison[Aliment],0))="c"),
INDEX(Règles_bison[Valeur 0-3],MATCH(ChoixRationBisons&amp;$BM92,Règles_bison[Ration]&amp;Règles_bison[Aliment],0)),0),0)*TotalBisonsFemelles_0_3_mois*NbreJoursNourrirBisonsDaims)</f>
        <v>0</v>
      </c>
      <c r="BU92" s="332">
        <f t="shared" si="6"/>
        <v>0</v>
      </c>
      <c r="BV92" s="282"/>
      <c r="BW92" s="282"/>
      <c r="BX92" s="355" t="s">
        <v>477</v>
      </c>
      <c r="BY92" s="280" t="s">
        <v>475</v>
      </c>
      <c r="BZ92" s="280" t="s">
        <v>711</v>
      </c>
      <c r="CA92" s="280">
        <v>6</v>
      </c>
      <c r="CB92" s="280">
        <v>4</v>
      </c>
      <c r="CC92" s="280">
        <v>2</v>
      </c>
      <c r="CD92" s="392">
        <v>0</v>
      </c>
      <c r="CE92" s="297"/>
      <c r="CF92" s="297"/>
      <c r="CG92" s="297"/>
      <c r="CH92" s="297"/>
    </row>
    <row r="93" spans="1:86" ht="12.75" customHeight="1" x14ac:dyDescent="0.2">
      <c r="A93" s="355" t="s">
        <v>175</v>
      </c>
      <c r="B93" s="362">
        <f t="shared" si="1"/>
        <v>1E-3</v>
      </c>
      <c r="F93" s="280" t="s">
        <v>284</v>
      </c>
      <c r="G93" s="280" t="s">
        <v>635</v>
      </c>
      <c r="H93" s="280" t="s">
        <v>664</v>
      </c>
      <c r="I93" s="311" t="s">
        <v>629</v>
      </c>
      <c r="J93" s="311" t="s">
        <v>674</v>
      </c>
      <c r="K93" s="311" t="s">
        <v>672</v>
      </c>
      <c r="L93" s="311" t="s">
        <v>659</v>
      </c>
      <c r="O93" s="367" t="s">
        <v>775</v>
      </c>
      <c r="P93" s="367" t="e">
        <f>IF(ChoixExpèceAuPré="",0,SUMIF(ChoixEspèceAuPré,Bovins,NbreMâles_3_6MoisAuPréEté))</f>
        <v>#REF!</v>
      </c>
      <c r="Q93" s="367" t="e">
        <f>IF(ChoixExpèceAuPré="",0,SUMIF(ChoixEspèceAuPré,Ovins,NbreMâles_3_6MoisAuPréEté))</f>
        <v>#REF!</v>
      </c>
      <c r="R93" s="367" t="e">
        <f>IF(ChoixExpèceAuPré="",0,SUMIF(ChoixEspèceAuPré,Caprins,NbreMâles_3_6MoisAuPréEté))</f>
        <v>#REF!</v>
      </c>
      <c r="S93" s="367" t="e">
        <f>IF(ChoixExpèceAuPré="",0,SUMIF(ChoixEspèceAuPré,Bisons,NbreMâles_3_6MoisAuPréEté))</f>
        <v>#REF!</v>
      </c>
      <c r="T93" s="367" t="e">
        <f>IF(ChoixExpèceAuPré="",0,SUMIF(ChoixEspèceAuPré,Daims,NbreMâles_3_6MoisAuPréEté))</f>
        <v>#REF!</v>
      </c>
      <c r="U93" s="367" t="e">
        <f>IF(ChoixExpèceAuPré="",0,SUMIF(ChoixEspèceAuPré,ChevauxSelle,NbreMâles_3_6MoisAuPréEté))</f>
        <v>#REF!</v>
      </c>
      <c r="V93" s="367" t="e">
        <f>IF(ChoixExpèceAuPré="",0,SUMIF(ChoixEspèceAuPré,ChevauxTrait,NbreMâles_3_6MoisAuPréEté))</f>
        <v>#REF!</v>
      </c>
      <c r="W93" s="367" t="e">
        <f>IF(ChoixExpèceAuPré="",0,SUMIF(ChoixEspèceAuPré,Poneys,NbreMâles_3_6MoisAuPréEté))</f>
        <v>#REF!</v>
      </c>
      <c r="Y93" s="367" t="s">
        <v>853</v>
      </c>
      <c r="Z93" s="367">
        <f>IF('coût alimentation'!$B$6=$Y$93,35,0)</f>
        <v>0</v>
      </c>
      <c r="AA93" s="367">
        <f>IF('coût alimentation'!$B$6=$Y$93,35,0)</f>
        <v>0</v>
      </c>
      <c r="AB93" s="367">
        <f>IF('coût alimentation'!$B$6=$Y$93,35,0)</f>
        <v>0</v>
      </c>
      <c r="AC93" s="367">
        <f>IF('coût alimentation'!$B$6=$Y$93,35,0)</f>
        <v>0</v>
      </c>
      <c r="AD93" s="367">
        <f>IF('coût alimentation'!$B$6=$Y$93,35,0)</f>
        <v>0</v>
      </c>
      <c r="AE93" s="367">
        <f>IF(AND(ChoixChevauxSellePréEté="OUI",'coût alimentation'!$B$6=$Y$93),21,IF(Y93&lt;&gt;'coût alimentation'!$B$6,0,84))</f>
        <v>0</v>
      </c>
      <c r="AF93" s="367">
        <f>IF(AND(ChoixChevauxTraitPréEté="OUI",'coût alimentation'!$B$6=$Y$93),21,IF(Y93&lt;&gt;'coût alimentation'!$B$6,0,84))</f>
        <v>0</v>
      </c>
      <c r="AG93" s="367">
        <f>IF(AND(ChoixPoneysPréEté="OUI",'coût alimentation'!$B$6=$Y$93),21,IF(Y93&lt;&gt;'coût alimentation'!$B$6,0,84))</f>
        <v>0</v>
      </c>
      <c r="BB93" s="369" t="s">
        <v>438</v>
      </c>
      <c r="BC93" s="344" t="s">
        <v>882</v>
      </c>
      <c r="BD93" s="344" t="s">
        <v>711</v>
      </c>
      <c r="BE93" s="370">
        <v>0</v>
      </c>
      <c r="BF93" s="370">
        <v>0</v>
      </c>
      <c r="BG93" s="370">
        <v>0</v>
      </c>
      <c r="BH93" s="370">
        <v>0</v>
      </c>
      <c r="BI93" s="370">
        <v>0</v>
      </c>
      <c r="BJ93" s="370">
        <v>0</v>
      </c>
      <c r="BK93" s="371">
        <v>8</v>
      </c>
      <c r="BL93" s="305"/>
      <c r="BM93" s="332" t="str">
        <f t="shared" si="7"/>
        <v>Orge</v>
      </c>
      <c r="BN93" s="332">
        <f t="array" ref="BN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36 et plus],MATCH(ChoixRationBisons&amp;$BM93,Règles_bison[Ration]&amp;Règles_bison[Aliment],0)),0),0)*TotalBisonnes*NbreJoursNourrirBisonsDaims)</f>
        <v>0</v>
      </c>
      <c r="BO93" s="332">
        <f t="array" ref="BO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24-36],MATCH(ChoixRationBisons&amp;$BM93,Règles_bison[Ration]&amp;Règles_bison[Aliment],0)),0),0)*TotalBisonsFemelles_24_36_mois*NbreJoursNourrirBisonsDaims)</f>
        <v>0</v>
      </c>
      <c r="BP93" s="332">
        <f t="array" ref="BP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18-24],MATCH(ChoixRationBisons&amp;$BM93,Règles_bison[Ration]&amp;Règles_bison[Aliment],0)),0),0)*TotalBisonsFemelles_18_24_mois*NbreJoursNourrirBisonsDaims)</f>
        <v>0</v>
      </c>
      <c r="BQ93" s="332">
        <f t="array" ref="BQ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12-18],MATCH(ChoixRationBisons&amp;$BM93,Règles_bison[Ration]&amp;Règles_bison[Aliment],0)),0),0)*TotalBisonsFemelles_12_18_mois*NbreJoursNourrirBisonsDaims)</f>
        <v>0</v>
      </c>
      <c r="BR93" s="332">
        <f t="array" ref="BR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6-12],MATCH(ChoixRationBisons&amp;$BM93,Règles_bison[Ration]&amp;Règles_bison[Aliment],0)),0),0)*TotalBisonsFemelles_6_12_mois*NbreJoursNourrirBisonsDaims)</f>
        <v>0</v>
      </c>
      <c r="BS93" s="332">
        <f t="array" ref="BS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3-6],MATCH(ChoixRationBisons&amp;$BM93,Règles_bison[Ration]&amp;Règles_bison[Aliment],0)),0),0)*TotalBisonsFemelles_3_6_mois*NbreJoursNourrirBisonsDaims)</f>
        <v>0</v>
      </c>
      <c r="BT93" s="332">
        <f t="array" ref="BT93">IF(Ration_hivernale_complète_bisons[somme]&gt;0,0,IFERROR(IF(OR(AND(INDEX(Règles_bison[Specificite],MATCH(ChoixRationBisons&amp;$BM93,Règles_bison[Ration]&amp;Règles_bison[Aliment],0))="s1",IF($BM93=ChoixSpécificité1Bisons,1)),
INDEX(Règles_bison[Specificite],MATCH(ChoixRationBisons&amp;$BM93,Règles_bison[Ration]&amp;Règles_bison[Aliment],0))="c"),
INDEX(Règles_bison[Valeur 0-3],MATCH(ChoixRationBisons&amp;$BM93,Règles_bison[Ration]&amp;Règles_bison[Aliment],0)),0),0)*TotalBisonsFemelles_0_3_mois*NbreJoursNourrirBisonsDaims)</f>
        <v>0</v>
      </c>
      <c r="BU93" s="332">
        <f t="shared" si="6"/>
        <v>0</v>
      </c>
      <c r="BV93" s="282"/>
      <c r="BW93" s="282"/>
      <c r="BX93" s="355" t="s">
        <v>477</v>
      </c>
      <c r="BY93" s="280" t="s">
        <v>383</v>
      </c>
      <c r="BZ93" s="280" t="s">
        <v>711</v>
      </c>
      <c r="CA93" s="280">
        <v>1.6</v>
      </c>
      <c r="CB93" s="280">
        <v>1.4</v>
      </c>
      <c r="CC93" s="280">
        <v>1.2</v>
      </c>
      <c r="CD93" s="392">
        <v>1</v>
      </c>
      <c r="CE93" s="297"/>
      <c r="CF93" s="297"/>
      <c r="CG93" s="297"/>
      <c r="CH93" s="297"/>
    </row>
    <row r="94" spans="1:86" ht="12.75" customHeight="1" x14ac:dyDescent="0.2">
      <c r="A94" s="355" t="s">
        <v>743</v>
      </c>
      <c r="B94" s="362">
        <f t="shared" si="1"/>
        <v>1E-3</v>
      </c>
      <c r="F94" s="280" t="s">
        <v>47</v>
      </c>
      <c r="G94" s="280" t="s">
        <v>635</v>
      </c>
      <c r="H94" s="280" t="s">
        <v>664</v>
      </c>
      <c r="I94" s="311" t="s">
        <v>629</v>
      </c>
      <c r="J94" s="311" t="s">
        <v>674</v>
      </c>
      <c r="K94" s="311" t="s">
        <v>672</v>
      </c>
      <c r="L94" s="311" t="s">
        <v>659</v>
      </c>
      <c r="O94" s="367" t="s">
        <v>776</v>
      </c>
      <c r="P94" s="367" t="e">
        <f>IF(ChoixExpèceAuPré="",0,SUMIF(ChoixEspèceAuPré,Bovins,NbreFemelles_3_6MoisAuPréEté))</f>
        <v>#REF!</v>
      </c>
      <c r="Q94" s="367" t="e">
        <f>IF(ChoixExpèceAuPré="",0,SUMIF(ChoixEspèceAuPré,Ovins,NbreFemelles_3_6MoisAuPréEté))</f>
        <v>#REF!</v>
      </c>
      <c r="R94" s="367" t="e">
        <f>IF(ChoixExpèceAuPré="",0,SUMIF(ChoixEspèceAuPré,Caprins,NbreFemelles_3_6MoisAuPréEté))</f>
        <v>#REF!</v>
      </c>
      <c r="S94" s="367" t="e">
        <f>IF(ChoixExpèceAuPré="",0,SUMIF(ChoixEspèceAuPré,Bisons,NbreFemelles_3_6MoisAuPréEté))</f>
        <v>#REF!</v>
      </c>
      <c r="T94" s="367" t="e">
        <f>IF(ChoixExpèceAuPré="",0,SUMIF(ChoixEspèceAuPré,Daims,NbreFemelles_3_6MoisAuPréEté))</f>
        <v>#REF!</v>
      </c>
      <c r="U94" s="367" t="e">
        <f>IF(ChoixExpèceAuPré="",0,SUMIF(ChoixEspèceAuPré,ChevauxSelle,NbreFemelles_3_6MoisAuPréEté))</f>
        <v>#REF!</v>
      </c>
      <c r="V94" s="367" t="e">
        <f>IF(ChoixExpèceAuPré="",0,SUMIF(ChoixEspèceAuPré,ChevauxTrait,NbreFemelles_3_6MoisAuPréEté))</f>
        <v>#REF!</v>
      </c>
      <c r="W94" s="367" t="e">
        <f>IF(ChoixExpèceAuPré="",0,SUMIF(ChoixEspèceAuPré,Poneys,NbreFemelles_3_6MoisAuPréEté))</f>
        <v>#REF!</v>
      </c>
      <c r="Y94" s="367" t="s">
        <v>854</v>
      </c>
      <c r="Z94" s="367">
        <f>IF('coût alimentation'!$B$6=$Y$94,42,0)</f>
        <v>0</v>
      </c>
      <c r="AA94" s="367">
        <f>IF(AND(ChoixBovinsPréEté="OUI",'coût alimentation'!$B$6=$Y$94),35,Z94)</f>
        <v>0</v>
      </c>
      <c r="AB94" s="367">
        <f>IF('coût alimentation'!$B$6=$Y$94,42,0)</f>
        <v>0</v>
      </c>
      <c r="AC94" s="367">
        <f>IF('coût alimentation'!$B$6=$Y$94,35,0)</f>
        <v>0</v>
      </c>
      <c r="AD94" s="367">
        <f>IF(AND(ChoixOvinsPréEté="OUI",'coût alimentation'!$B$6=$Y$94),35,Z94)</f>
        <v>0</v>
      </c>
      <c r="AE94" s="367">
        <f>IF(AND(ChoixChevauxSellePréEté="OUI",'coût alimentation'!$B$6=$Y$94),21,IF(Y94&lt;&gt;'coût alimentation'!$B$6,0,84))</f>
        <v>0</v>
      </c>
      <c r="AF94" s="367">
        <f>IF(AND(ChoixChevauxTraitPréEté="OUI",'coût alimentation'!$B$6=$Y$94),21,IF(Y94&lt;&gt;'coût alimentation'!$B$6,0,84))</f>
        <v>0</v>
      </c>
      <c r="AG94" s="367">
        <f>IF(AND(ChoixPoneysPréEté="OUI",'coût alimentation'!$B$6=$Y$94),21,IF(Y94&lt;&gt;'coût alimentation'!$B$6,0,84))</f>
        <v>0</v>
      </c>
      <c r="BB94" s="369" t="s">
        <v>438</v>
      </c>
      <c r="BC94" s="344" t="s">
        <v>444</v>
      </c>
      <c r="BD94" s="344" t="s">
        <v>711</v>
      </c>
      <c r="BE94" s="370">
        <v>200</v>
      </c>
      <c r="BF94" s="370">
        <v>100</v>
      </c>
      <c r="BG94" s="370">
        <v>80</v>
      </c>
      <c r="BH94" s="370">
        <v>60</v>
      </c>
      <c r="BI94" s="370">
        <v>40</v>
      </c>
      <c r="BJ94" s="370">
        <v>28</v>
      </c>
      <c r="BK94" s="371">
        <v>12</v>
      </c>
      <c r="BL94" s="305"/>
      <c r="BM94" s="332" t="str">
        <f t="shared" si="7"/>
        <v>Paille</v>
      </c>
      <c r="BN94" s="332">
        <f t="array" ref="BN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36 et plus],MATCH(ChoixRationBisons&amp;$BM94,Règles_bison[Ration]&amp;Règles_bison[Aliment],0)),0),0)*TotalBisonnes*NbreJoursNourrirBisonsDaims)</f>
        <v>0</v>
      </c>
      <c r="BO94" s="332">
        <f t="array" ref="BO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24-36],MATCH(ChoixRationBisons&amp;$BM94,Règles_bison[Ration]&amp;Règles_bison[Aliment],0)),0),0)*TotalBisonsFemelles_24_36_mois*NbreJoursNourrirBisonsDaims)</f>
        <v>0</v>
      </c>
      <c r="BP94" s="332">
        <f t="array" ref="BP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18-24],MATCH(ChoixRationBisons&amp;$BM94,Règles_bison[Ration]&amp;Règles_bison[Aliment],0)),0),0)*TotalBisonsFemelles_18_24_mois*NbreJoursNourrirBisonsDaims)</f>
        <v>0</v>
      </c>
      <c r="BQ94" s="332">
        <f t="array" ref="BQ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12-18],MATCH(ChoixRationBisons&amp;$BM94,Règles_bison[Ration]&amp;Règles_bison[Aliment],0)),0),0)*TotalBisonsFemelles_12_18_mois*NbreJoursNourrirBisonsDaims)</f>
        <v>0</v>
      </c>
      <c r="BR94" s="332">
        <f t="array" ref="BR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6-12],MATCH(ChoixRationBisons&amp;$BM94,Règles_bison[Ration]&amp;Règles_bison[Aliment],0)),0),0)*TotalBisonsFemelles_6_12_mois*NbreJoursNourrirBisonsDaims)</f>
        <v>0</v>
      </c>
      <c r="BS94" s="332">
        <f t="array" ref="BS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3-6],MATCH(ChoixRationBisons&amp;$BM94,Règles_bison[Ration]&amp;Règles_bison[Aliment],0)),0),0)*TotalBisonsFemelles_3_6_mois*NbreJoursNourrirBisonsDaims)</f>
        <v>0</v>
      </c>
      <c r="BT94" s="332">
        <f t="array" ref="BT94">IF(Ration_hivernale_complète_bisons[somme]&gt;0,0,IFERROR(IF(OR(AND(INDEX(Règles_bison[Specificite],MATCH(ChoixRationBisons&amp;$BM94,Règles_bison[Ration]&amp;Règles_bison[Aliment],0))="s1",IF($BM94=ChoixSpécificité1Bisons,1)),
INDEX(Règles_bison[Specificite],MATCH(ChoixRationBisons&amp;$BM94,Règles_bison[Ration]&amp;Règles_bison[Aliment],0))="c"),
INDEX(Règles_bison[Valeur 0-3],MATCH(ChoixRationBisons&amp;$BM94,Règles_bison[Ration]&amp;Règles_bison[Aliment],0)),0),0)*TotalBisonsFemelles_0_3_mois*NbreJoursNourrirBisonsDaims)</f>
        <v>0</v>
      </c>
      <c r="BU94" s="332">
        <f t="shared" si="6"/>
        <v>0</v>
      </c>
      <c r="BV94" s="282"/>
      <c r="BW94" s="282"/>
      <c r="BX94" s="355" t="s">
        <v>477</v>
      </c>
      <c r="BY94" s="280" t="s">
        <v>160</v>
      </c>
      <c r="BZ94" s="280" t="s">
        <v>712</v>
      </c>
      <c r="CA94" s="280">
        <v>1.6</v>
      </c>
      <c r="CB94" s="280">
        <v>1.4</v>
      </c>
      <c r="CC94" s="280">
        <v>1.2</v>
      </c>
      <c r="CD94" s="392">
        <v>1</v>
      </c>
      <c r="CE94" s="297"/>
      <c r="CF94" s="297"/>
      <c r="CG94" s="297"/>
      <c r="CH94" s="297"/>
    </row>
    <row r="95" spans="1:86" ht="12.75" customHeight="1" x14ac:dyDescent="0.2">
      <c r="A95" s="355" t="s">
        <v>176</v>
      </c>
      <c r="B95" s="362">
        <f t="shared" si="1"/>
        <v>1E-3</v>
      </c>
      <c r="F95" s="280" t="s">
        <v>285</v>
      </c>
      <c r="G95" s="280" t="s">
        <v>635</v>
      </c>
      <c r="H95" s="280" t="s">
        <v>664</v>
      </c>
      <c r="I95" s="311" t="s">
        <v>629</v>
      </c>
      <c r="J95" s="311" t="s">
        <v>674</v>
      </c>
      <c r="K95" s="311" t="s">
        <v>672</v>
      </c>
      <c r="L95" s="311" t="s">
        <v>659</v>
      </c>
      <c r="N95" s="277"/>
      <c r="O95" s="367" t="s">
        <v>777</v>
      </c>
      <c r="P95" s="367" t="e">
        <f>IF(ChoixExpèceAuPré="",0,SUMIF(ChoixEspèceAuPré,Bovins,NbreMâles_6_12MoisAuPréEté))</f>
        <v>#REF!</v>
      </c>
      <c r="Q95" s="367" t="e">
        <f>IF(ChoixExpèceAuPré="",0,SUMIF(ChoixEspèceAuPré,Ovins,NbreMâles_6_12MoisAuPréEté))</f>
        <v>#REF!</v>
      </c>
      <c r="R95" s="367" t="e">
        <f>IF(ChoixExpèceAuPré="",0,SUMIF(ChoixEspèceAuPré,Caprins,NbreMâles_6_12MoisAuPréEté))</f>
        <v>#REF!</v>
      </c>
      <c r="S95" s="367" t="e">
        <f>IF(ChoixExpèceAuPré="",0,SUMIF(ChoixEspèceAuPré,Bisons,NbreMâles_6_12MoisAuPréEté))</f>
        <v>#REF!</v>
      </c>
      <c r="T95" s="367" t="e">
        <f>IF(ChoixExpèceAuPré="",0,SUMIF(ChoixEspèceAuPré,Daims,NbreMâles_6_12MoisAuPréEté))</f>
        <v>#REF!</v>
      </c>
      <c r="U95" s="367" t="e">
        <f>IF(ChoixExpèceAuPré="",0,SUMIF(ChoixEspèceAuPré,ChevauxSelle,NbreMâles_6_12MoisAuPréEté))</f>
        <v>#REF!</v>
      </c>
      <c r="V95" s="367" t="e">
        <f>IF(ChoixExpèceAuPré="",0,SUMIF(ChoixEspèceAuPré,ChevauxTrait,NbreMâles_6_12MoisAuPréEté))</f>
        <v>#REF!</v>
      </c>
      <c r="W95" s="367" t="e">
        <f>IF(ChoixExpèceAuPré="",0,SUMIF(ChoixEspèceAuPré,Poneys,NbreMâles_6_12MoisAuPréEté))</f>
        <v>#REF!</v>
      </c>
      <c r="Y95" s="367" t="s">
        <v>855</v>
      </c>
      <c r="Z95" s="367">
        <f>IF('coût alimentation'!$B$6=$Y$95,49,0)</f>
        <v>0</v>
      </c>
      <c r="AA95" s="367">
        <f>IF(AND(ChoixBovinsPréEté="OUI",'coût alimentation'!$B$6=$Y$95),35,Z95)</f>
        <v>0</v>
      </c>
      <c r="AB95" s="367">
        <f>IF('coût alimentation'!$B$6=$Y$95,42,0)</f>
        <v>0</v>
      </c>
      <c r="AC95" s="367">
        <f>IF(AND(ChoixCaprinsPréEté="OUI",'coût alimentation'!$B$6=$Y$95),35,Z95)</f>
        <v>0</v>
      </c>
      <c r="AD95" s="367">
        <f>IF(AND(ChoixOvinsPréEté="OUI",'coût alimentation'!$B$6=$Y$95),35,Z95)</f>
        <v>0</v>
      </c>
      <c r="AE95" s="367">
        <f>IF(AND(ChoixChevauxSellePréEté="OUI",'coût alimentation'!$B$6=$Y$95),21,IF(Y95&lt;&gt;'coût alimentation'!$B$6,0,84))</f>
        <v>0</v>
      </c>
      <c r="AF95" s="367">
        <f>IF(AND(ChoixChevauxTraitPréEté="OUI",'coût alimentation'!$B$6=$Y$95),21,IF(Y95&lt;&gt;'coût alimentation'!$B$6,0,84))</f>
        <v>0</v>
      </c>
      <c r="AG95" s="367">
        <f>IF(AND(ChoixPoneysPréEté="OUI",'coût alimentation'!$B$6=$Y$95),21,IF(Y95&lt;&gt;'coût alimentation'!$B$6,0,84))</f>
        <v>0</v>
      </c>
      <c r="BB95" s="369" t="s">
        <v>440</v>
      </c>
      <c r="BC95" s="344" t="s">
        <v>434</v>
      </c>
      <c r="BD95" s="344" t="s">
        <v>735</v>
      </c>
      <c r="BE95" s="370">
        <v>0</v>
      </c>
      <c r="BF95" s="370">
        <v>0</v>
      </c>
      <c r="BG95" s="370">
        <v>0</v>
      </c>
      <c r="BH95" s="370">
        <v>0</v>
      </c>
      <c r="BI95" s="370">
        <v>0</v>
      </c>
      <c r="BJ95" s="370">
        <v>0</v>
      </c>
      <c r="BK95" s="371">
        <v>0</v>
      </c>
      <c r="BL95" s="305"/>
      <c r="BM95" s="332" t="str">
        <f t="shared" si="7"/>
        <v>Pois</v>
      </c>
      <c r="BN95" s="332">
        <f t="array" ref="BN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36 et plus],MATCH(ChoixRationBisons&amp;$BM95,Règles_bison[Ration]&amp;Règles_bison[Aliment],0)),0),0)*TotalBisonnes*NbreJoursNourrirBisonsDaims)</f>
        <v>0</v>
      </c>
      <c r="BO95" s="332">
        <f t="array" ref="BO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24-36],MATCH(ChoixRationBisons&amp;$BM95,Règles_bison[Ration]&amp;Règles_bison[Aliment],0)),0),0)*TotalBisonsFemelles_24_36_mois*NbreJoursNourrirBisonsDaims)</f>
        <v>0</v>
      </c>
      <c r="BP95" s="332">
        <f t="array" ref="BP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18-24],MATCH(ChoixRationBisons&amp;$BM95,Règles_bison[Ration]&amp;Règles_bison[Aliment],0)),0),0)*TotalBisonsFemelles_18_24_mois*NbreJoursNourrirBisonsDaims)</f>
        <v>0</v>
      </c>
      <c r="BQ95" s="332">
        <f t="array" ref="BQ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12-18],MATCH(ChoixRationBisons&amp;$BM95,Règles_bison[Ration]&amp;Règles_bison[Aliment],0)),0),0)*TotalBisonsFemelles_12_18_mois*NbreJoursNourrirBisonsDaims)</f>
        <v>0</v>
      </c>
      <c r="BR95" s="332">
        <f t="array" ref="BR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6-12],MATCH(ChoixRationBisons&amp;$BM95,Règles_bison[Ration]&amp;Règles_bison[Aliment],0)),0),0)*TotalBisonsFemelles_6_12_mois*NbreJoursNourrirBisonsDaims)</f>
        <v>0</v>
      </c>
      <c r="BS95" s="332">
        <f t="array" ref="BS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3-6],MATCH(ChoixRationBisons&amp;$BM95,Règles_bison[Ration]&amp;Règles_bison[Aliment],0)),0),0)*TotalBisonsFemelles_3_6_mois*NbreJoursNourrirBisonsDaims)</f>
        <v>0</v>
      </c>
      <c r="BT95" s="332">
        <f t="array" ref="BT95">IF(Ration_hivernale_complète_bisons[somme]&gt;0,0,IFERROR(IF(OR(AND(INDEX(Règles_bison[Specificite],MATCH(ChoixRationBisons&amp;$BM95,Règles_bison[Ration]&amp;Règles_bison[Aliment],0))="s1",IF($BM95=ChoixSpécificité1Bisons,1)),
INDEX(Règles_bison[Specificite],MATCH(ChoixRationBisons&amp;$BM95,Règles_bison[Ration]&amp;Règles_bison[Aliment],0))="c"),
INDEX(Règles_bison[Valeur 0-3],MATCH(ChoixRationBisons&amp;$BM95,Règles_bison[Ration]&amp;Règles_bison[Aliment],0)),0),0)*TotalBisonsFemelles_0_3_mois*NbreJoursNourrirBisonsDaims)</f>
        <v>0</v>
      </c>
      <c r="BU95" s="332">
        <f t="shared" si="6"/>
        <v>0</v>
      </c>
      <c r="BV95" s="282"/>
      <c r="BW95" s="282"/>
      <c r="BX95" s="355" t="s">
        <v>477</v>
      </c>
      <c r="BY95" s="280" t="s">
        <v>47</v>
      </c>
      <c r="BZ95" s="280" t="s">
        <v>712</v>
      </c>
      <c r="CA95" s="280">
        <v>1.6</v>
      </c>
      <c r="CB95" s="280">
        <v>1.4</v>
      </c>
      <c r="CC95" s="280">
        <v>1.2</v>
      </c>
      <c r="CD95" s="392">
        <v>1</v>
      </c>
      <c r="CE95" s="297"/>
      <c r="CF95" s="297"/>
      <c r="CG95" s="297"/>
      <c r="CH95" s="297"/>
    </row>
    <row r="96" spans="1:86" ht="12.75" customHeight="1" x14ac:dyDescent="0.2">
      <c r="A96" s="355" t="s">
        <v>31</v>
      </c>
      <c r="B96" s="362">
        <f t="shared" si="1"/>
        <v>1E-3</v>
      </c>
      <c r="F96" s="280" t="s">
        <v>189</v>
      </c>
      <c r="G96" s="280" t="s">
        <v>637</v>
      </c>
      <c r="H96" s="311" t="s">
        <v>661</v>
      </c>
      <c r="I96" s="311" t="s">
        <v>659</v>
      </c>
      <c r="J96" s="311" t="s">
        <v>630</v>
      </c>
      <c r="K96" s="311" t="s">
        <v>672</v>
      </c>
      <c r="L96" s="280">
        <v>0</v>
      </c>
      <c r="N96" s="277"/>
      <c r="O96" s="367" t="s">
        <v>778</v>
      </c>
      <c r="P96" s="367" t="e">
        <f>IF(ChoixExpèceAuPré="",0,SUMIF(ChoixEspèceAuPré,Bovins,NbreFemelles_6_12MoisAuPréEté))</f>
        <v>#REF!</v>
      </c>
      <c r="Q96" s="367" t="e">
        <f>IF(ChoixExpèceAuPré="",0,SUMIF(ChoixEspèceAuPré,Ovins,NbreFemelles_6_12MoisAuPréEté))</f>
        <v>#REF!</v>
      </c>
      <c r="R96" s="367" t="e">
        <f>IF(ChoixExpèceAuPré="",0,SUMIF(ChoixEspèceAuPré,Caprins,NbreFemelles_6_12MoisAuPréEté))</f>
        <v>#REF!</v>
      </c>
      <c r="S96" s="367" t="e">
        <f>IF(ChoixExpèceAuPré="",0,SUMIF(ChoixEspèceAuPré,Bisons,NbreFemelles_6_12MoisAuPréEté))</f>
        <v>#REF!</v>
      </c>
      <c r="T96" s="367" t="e">
        <f>IF(ChoixExpèceAuPré="",0,SUMIF(ChoixEspèceAuPré,Daims,NbreFemelles_6_12MoisAuPréEté))</f>
        <v>#REF!</v>
      </c>
      <c r="U96" s="367" t="e">
        <f>IF(ChoixExpèceAuPré="",0,SUMIF(ChoixEspèceAuPré,ChevauxSelle,NbreFemelles_6_12MoisAuPréEté))</f>
        <v>#REF!</v>
      </c>
      <c r="V96" s="367" t="e">
        <f>IF(ChoixExpèceAuPré="",0,SUMIF(ChoixEspèceAuPré,ChevauxTrait,NbreFemelles_6_12MoisAuPréEté))</f>
        <v>#REF!</v>
      </c>
      <c r="W96" s="367" t="e">
        <f>IF(ChoixExpèceAuPré="",0,SUMIF(ChoixEspèceAuPré,Poneys,NbreFemelles_6_12MoisAuPréEté))</f>
        <v>#REF!</v>
      </c>
      <c r="Y96" s="367" t="s">
        <v>856</v>
      </c>
      <c r="Z96" s="367">
        <f>IF('coût alimentation'!$B$6=$Y$96,56,0)</f>
        <v>0</v>
      </c>
      <c r="AA96" s="367">
        <f>IF(AND(ChoixBovinsPréEté="OUI",'coût alimentation'!$B$6=$Y$96),35,Z96)</f>
        <v>0</v>
      </c>
      <c r="AB96" s="367">
        <f>IF('coût alimentation'!$B$6=$Y$96,42,0)</f>
        <v>0</v>
      </c>
      <c r="AC96" s="367">
        <f>IF(AND(ChoixCaprinsPréEté="OUI",'coût alimentation'!$B$6=$Y$96),35,Z96)</f>
        <v>0</v>
      </c>
      <c r="AD96" s="367">
        <f>IF(AND(ChoixOvinsPréEté="OUI",'coût alimentation'!$B$6=$Y$96),35,Z96)</f>
        <v>0</v>
      </c>
      <c r="AE96" s="367">
        <f>IF(AND(ChoixChevauxSellePréEté="OUI",'coût alimentation'!$B$6=$Y$96),21,IF(Y96&lt;&gt;'coût alimentation'!$B$6,0,84))</f>
        <v>0</v>
      </c>
      <c r="AF96" s="367">
        <f>IF(AND(ChoixChevauxTraitPréEté="OUI",'coût alimentation'!$B$6=$Y$96),21,IF(Y96&lt;&gt;'coût alimentation'!$B$6,0,84))</f>
        <v>0</v>
      </c>
      <c r="AG96" s="367">
        <f>IF(AND(ChoixPoneysPréEté="OUI",'coût alimentation'!$B$6=$Y$96),21,IF(Y96&lt;&gt;'coût alimentation'!$B$6,0,84))</f>
        <v>0</v>
      </c>
      <c r="BB96" s="369" t="s">
        <v>440</v>
      </c>
      <c r="BC96" s="344" t="s">
        <v>124</v>
      </c>
      <c r="BD96" s="344" t="s">
        <v>711</v>
      </c>
      <c r="BE96" s="370">
        <v>56</v>
      </c>
      <c r="BF96" s="370">
        <v>48</v>
      </c>
      <c r="BG96" s="370">
        <v>32</v>
      </c>
      <c r="BH96" s="370">
        <v>24</v>
      </c>
      <c r="BI96" s="370">
        <v>16</v>
      </c>
      <c r="BJ96" s="370">
        <v>8</v>
      </c>
      <c r="BK96" s="371">
        <v>0</v>
      </c>
      <c r="BL96" s="305"/>
      <c r="BM96" s="332" t="str">
        <f t="shared" si="7"/>
        <v>Pomme de terre</v>
      </c>
      <c r="BN96" s="332">
        <f t="array" ref="BN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36 et plus],MATCH(ChoixRationBisons&amp;$BM96,Règles_bison[Ration]&amp;Règles_bison[Aliment],0)),0),0)*TotalBisonnes*NbreJoursNourrirBisonsDaims)</f>
        <v>0</v>
      </c>
      <c r="BO96" s="332">
        <f t="array" ref="BO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24-36],MATCH(ChoixRationBisons&amp;$BM96,Règles_bison[Ration]&amp;Règles_bison[Aliment],0)),0),0)*TotalBisonsFemelles_24_36_mois*NbreJoursNourrirBisonsDaims)</f>
        <v>0</v>
      </c>
      <c r="BP96" s="332">
        <f t="array" ref="BP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18-24],MATCH(ChoixRationBisons&amp;$BM96,Règles_bison[Ration]&amp;Règles_bison[Aliment],0)),0),0)*TotalBisonsFemelles_18_24_mois*NbreJoursNourrirBisonsDaims)</f>
        <v>0</v>
      </c>
      <c r="BQ96" s="332">
        <f t="array" ref="BQ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12-18],MATCH(ChoixRationBisons&amp;$BM96,Règles_bison[Ration]&amp;Règles_bison[Aliment],0)),0),0)*TotalBisonsFemelles_12_18_mois*NbreJoursNourrirBisonsDaims)</f>
        <v>0</v>
      </c>
      <c r="BR96" s="332">
        <f t="array" ref="BR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6-12],MATCH(ChoixRationBisons&amp;$BM96,Règles_bison[Ration]&amp;Règles_bison[Aliment],0)),0),0)*TotalBisonsFemelles_6_12_mois*NbreJoursNourrirBisonsDaims)</f>
        <v>0</v>
      </c>
      <c r="BS96" s="332">
        <f t="array" ref="BS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3-6],MATCH(ChoixRationBisons&amp;$BM96,Règles_bison[Ration]&amp;Règles_bison[Aliment],0)),0),0)*TotalBisonsFemelles_3_6_mois*NbreJoursNourrirBisonsDaims)</f>
        <v>0</v>
      </c>
      <c r="BT96" s="332">
        <f t="array" ref="BT96">IF(Ration_hivernale_complète_bisons[somme]&gt;0,0,IFERROR(IF(OR(AND(INDEX(Règles_bison[Specificite],MATCH(ChoixRationBisons&amp;$BM96,Règles_bison[Ration]&amp;Règles_bison[Aliment],0))="s1",IF($BM96=ChoixSpécificité1Bisons,1)),
INDEX(Règles_bison[Specificite],MATCH(ChoixRationBisons&amp;$BM96,Règles_bison[Ration]&amp;Règles_bison[Aliment],0))="c"),
INDEX(Règles_bison[Valeur 0-3],MATCH(ChoixRationBisons&amp;$BM96,Règles_bison[Ration]&amp;Règles_bison[Aliment],0)),0),0)*TotalBisonsFemelles_0_3_mois*NbreJoursNourrirBisonsDaims)</f>
        <v>0</v>
      </c>
      <c r="BU96" s="332">
        <f t="shared" si="6"/>
        <v>0</v>
      </c>
      <c r="BV96" s="282"/>
      <c r="BW96" s="282"/>
      <c r="BX96" s="355" t="s">
        <v>477</v>
      </c>
      <c r="BY96" s="280" t="s">
        <v>730</v>
      </c>
      <c r="BZ96" s="280" t="s">
        <v>711</v>
      </c>
      <c r="CA96" s="280">
        <v>0.08</v>
      </c>
      <c r="CB96" s="280">
        <v>0.04</v>
      </c>
      <c r="CC96" s="280">
        <v>0.04</v>
      </c>
      <c r="CD96" s="392">
        <v>0.04</v>
      </c>
      <c r="CE96" s="297"/>
      <c r="CF96" s="297"/>
      <c r="CG96" s="297"/>
      <c r="CH96" s="297"/>
    </row>
    <row r="97" spans="1:86" ht="12.75" customHeight="1" x14ac:dyDescent="0.2">
      <c r="A97" s="355" t="s">
        <v>32</v>
      </c>
      <c r="B97" s="362">
        <f t="shared" si="1"/>
        <v>1E-3</v>
      </c>
      <c r="F97" s="280" t="s">
        <v>190</v>
      </c>
      <c r="G97" s="312" t="s">
        <v>658</v>
      </c>
      <c r="H97" s="311" t="s">
        <v>630</v>
      </c>
      <c r="I97" s="312" t="s">
        <v>669</v>
      </c>
      <c r="J97" s="311" t="s">
        <v>660</v>
      </c>
      <c r="K97" s="311" t="s">
        <v>672</v>
      </c>
      <c r="L97" s="280">
        <v>0</v>
      </c>
      <c r="N97" s="277"/>
      <c r="O97" s="367" t="s">
        <v>779</v>
      </c>
      <c r="P97" s="367" t="e">
        <f>IF(ChoixExpèceAuPré="",0,SUMIF(ChoixEspèceAuPré,Bovins,NbreMâles_12_18MoisAuPréEté))</f>
        <v>#REF!</v>
      </c>
      <c r="Q97" s="367" t="e">
        <f>IF(ChoixExpèceAuPré="",0,SUMIF(ChoixEspèceAuPré,Ovins,NbreMâles_12_18MoisAuPréEté))</f>
        <v>#REF!</v>
      </c>
      <c r="R97" s="367" t="e">
        <f>IF(ChoixExpèceAuPré="",0,SUMIF(ChoixEspèceAuPré,Caprins,NbreMâles_12_18MoisAuPréEté))</f>
        <v>#REF!</v>
      </c>
      <c r="S97" s="367" t="e">
        <f>IF(ChoixExpèceAuPré="",0,SUMIF(ChoixEspèceAuPré,Bisons,NbreMâles_12_18MoisAuPréEté))</f>
        <v>#REF!</v>
      </c>
      <c r="T97" s="367" t="e">
        <f>IF(ChoixExpèceAuPré="",0,SUMIF(ChoixEspèceAuPré,Daims,NbreMâles_12_18MoisAuPréEté))</f>
        <v>#REF!</v>
      </c>
      <c r="U97" s="367" t="e">
        <f>IF(ChoixExpèceAuPré="",0,SUMIF(ChoixEspèceAuPré,ChevauxSelle,NbreMâles_12_18MoisAuPréEté))</f>
        <v>#REF!</v>
      </c>
      <c r="V97" s="367" t="e">
        <f>IF(ChoixExpèceAuPré="",0,SUMIF(ChoixEspèceAuPré,ChevauxTrait,NbreMâles_12_18MoisAuPréEté))</f>
        <v>#REF!</v>
      </c>
      <c r="W97" s="367" t="e">
        <f>IF(ChoixExpèceAuPré="",0,SUMIF(ChoixEspèceAuPré,Poneys,NbreMâles_12_18MoisAuPréEté))</f>
        <v>#REF!</v>
      </c>
      <c r="Y97" s="367" t="s">
        <v>857</v>
      </c>
      <c r="Z97" s="367">
        <f>IF('coût alimentation'!$B$6=$Y$97,63,0)</f>
        <v>0</v>
      </c>
      <c r="AA97" s="367">
        <f>IF(AND(ChoixBovinsPréEté="OUI",'coût alimentation'!$B$6=$Y$97),35,Z97)</f>
        <v>0</v>
      </c>
      <c r="AB97" s="367">
        <f>IF('coût alimentation'!$B$6=$Y$97,42,0)</f>
        <v>0</v>
      </c>
      <c r="AC97" s="367">
        <f>IF(AND(ChoixCaprinsPréEté="OUI",'coût alimentation'!$B$6=$Y$97),35,Z97)</f>
        <v>0</v>
      </c>
      <c r="AD97" s="367">
        <f>IF(AND(ChoixOvinsPréEté="OUI",'coût alimentation'!$B$6=$Y$97),35,Z97)</f>
        <v>0</v>
      </c>
      <c r="AE97" s="367">
        <f>IF(AND(ChoixChevauxSellePréEté="OUI",'coût alimentation'!$B$6=$Y$97),21,IF(Y97&lt;&gt;'coût alimentation'!$B$6,0,84))</f>
        <v>0</v>
      </c>
      <c r="AF97" s="367">
        <f>IF(AND(ChoixChevauxTraitPréEté="OUI",'coût alimentation'!$B$6=$Y$97),21,IF(Y97&lt;&gt;'coût alimentation'!$B$6,0,84))</f>
        <v>0</v>
      </c>
      <c r="AG97" s="367">
        <f>IF(AND(ChoixPoneysPréEté="OUI",'coût alimentation'!$B$6=$Y$97),21,IF(Y97&lt;&gt;'coût alimentation'!$B$6,0,84))</f>
        <v>0</v>
      </c>
      <c r="BB97" s="369" t="s">
        <v>440</v>
      </c>
      <c r="BC97" s="344" t="s">
        <v>190</v>
      </c>
      <c r="BD97" s="344" t="s">
        <v>711</v>
      </c>
      <c r="BE97" s="370">
        <v>48</v>
      </c>
      <c r="BF97" s="370">
        <v>48</v>
      </c>
      <c r="BG97" s="370">
        <v>32</v>
      </c>
      <c r="BH97" s="370">
        <v>24</v>
      </c>
      <c r="BI97" s="370">
        <v>16</v>
      </c>
      <c r="BJ97" s="370">
        <v>8</v>
      </c>
      <c r="BK97" s="371">
        <v>0</v>
      </c>
      <c r="BL97" s="305"/>
      <c r="BM97" s="332" t="str">
        <f t="shared" si="7"/>
        <v>Pulpe déshydratée de betterave</v>
      </c>
      <c r="BN97" s="332">
        <f t="array" ref="BN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36 et plus],MATCH(ChoixRationBisons&amp;$BM97,Règles_bison[Ration]&amp;Règles_bison[Aliment],0)),0),0)*TotalBisonnes*NbreJoursNourrirBisonsDaims)</f>
        <v>0</v>
      </c>
      <c r="BO97" s="332">
        <f t="array" ref="BO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24-36],MATCH(ChoixRationBisons&amp;$BM97,Règles_bison[Ration]&amp;Règles_bison[Aliment],0)),0),0)*TotalBisonsFemelles_24_36_mois*NbreJoursNourrirBisonsDaims)</f>
        <v>0</v>
      </c>
      <c r="BP97" s="332">
        <f t="array" ref="BP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18-24],MATCH(ChoixRationBisons&amp;$BM97,Règles_bison[Ration]&amp;Règles_bison[Aliment],0)),0),0)*TotalBisonsFemelles_18_24_mois*NbreJoursNourrirBisonsDaims)</f>
        <v>0</v>
      </c>
      <c r="BQ97" s="332">
        <f t="array" ref="BQ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12-18],MATCH(ChoixRationBisons&amp;$BM97,Règles_bison[Ration]&amp;Règles_bison[Aliment],0)),0),0)*TotalBisonsFemelles_12_18_mois*NbreJoursNourrirBisonsDaims)</f>
        <v>0</v>
      </c>
      <c r="BR97" s="332">
        <f t="array" ref="BR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6-12],MATCH(ChoixRationBisons&amp;$BM97,Règles_bison[Ration]&amp;Règles_bison[Aliment],0)),0),0)*TotalBisonsFemelles_6_12_mois*NbreJoursNourrirBisonsDaims)</f>
        <v>0</v>
      </c>
      <c r="BS97" s="332">
        <f t="array" ref="BS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3-6],MATCH(ChoixRationBisons&amp;$BM97,Règles_bison[Ration]&amp;Règles_bison[Aliment],0)),0),0)*TotalBisonsFemelles_3_6_mois*NbreJoursNourrirBisonsDaims)</f>
        <v>0</v>
      </c>
      <c r="BT97" s="332">
        <f t="array" ref="BT97">IF(Ration_hivernale_complète_bisons[somme]&gt;0,0,IFERROR(IF(OR(AND(INDEX(Règles_bison[Specificite],MATCH(ChoixRationBisons&amp;$BM97,Règles_bison[Ration]&amp;Règles_bison[Aliment],0))="s1",IF($BM97=ChoixSpécificité1Bisons,1)),
INDEX(Règles_bison[Specificite],MATCH(ChoixRationBisons&amp;$BM97,Règles_bison[Ration]&amp;Règles_bison[Aliment],0))="c"),
INDEX(Règles_bison[Valeur 0-3],MATCH(ChoixRationBisons&amp;$BM97,Règles_bison[Ration]&amp;Règles_bison[Aliment],0)),0),0)*TotalBisonsFemelles_0_3_mois*NbreJoursNourrirBisonsDaims)</f>
        <v>0</v>
      </c>
      <c r="BU97" s="332">
        <f t="shared" si="6"/>
        <v>0</v>
      </c>
      <c r="BV97" s="282"/>
      <c r="BW97" s="282"/>
      <c r="BX97" s="355" t="s">
        <v>477</v>
      </c>
      <c r="BY97" s="280" t="s">
        <v>444</v>
      </c>
      <c r="BZ97" s="280" t="s">
        <v>711</v>
      </c>
      <c r="CA97" s="280">
        <v>20</v>
      </c>
      <c r="CB97" s="280">
        <v>12</v>
      </c>
      <c r="CC97" s="280">
        <v>8</v>
      </c>
      <c r="CD97" s="392">
        <v>4</v>
      </c>
      <c r="CE97" s="297"/>
      <c r="CF97" s="297"/>
      <c r="CG97" s="297"/>
      <c r="CH97" s="297"/>
    </row>
    <row r="98" spans="1:86" ht="12.75" customHeight="1" x14ac:dyDescent="0.2">
      <c r="A98" s="355" t="s">
        <v>93</v>
      </c>
      <c r="B98" s="362">
        <f>1/1000</f>
        <v>1E-3</v>
      </c>
      <c r="F98" s="280" t="s">
        <v>297</v>
      </c>
      <c r="G98" s="311" t="s">
        <v>629</v>
      </c>
      <c r="H98" s="280" t="s">
        <v>664</v>
      </c>
      <c r="I98" s="311" t="s">
        <v>659</v>
      </c>
      <c r="J98" s="311" t="s">
        <v>630</v>
      </c>
      <c r="K98" s="280" t="s">
        <v>665</v>
      </c>
      <c r="L98" s="280" t="s">
        <v>664</v>
      </c>
      <c r="N98" s="277"/>
      <c r="O98" s="367" t="s">
        <v>780</v>
      </c>
      <c r="P98" s="367" t="e">
        <f>IF(ChoixExpèceAuPré="",0,SUMIF(ChoixEspèceAuPré,Bovins,NbreFemelles_12_18MoisAuPréEté))</f>
        <v>#REF!</v>
      </c>
      <c r="Q98" s="367" t="e">
        <f>IF(ChoixExpèceAuPré="",0,SUMIF(ChoixEspèceAuPré,Ovins,NbreFemelles_12_18MoisAuPréEté))</f>
        <v>#REF!</v>
      </c>
      <c r="R98" s="367" t="e">
        <f>IF(ChoixExpèceAuPré="",0,SUMIF(ChoixEspèceAuPré,Caprins,NbreFemelles_12_18MoisAuPréEté))</f>
        <v>#REF!</v>
      </c>
      <c r="S98" s="367" t="e">
        <f>IF(ChoixExpèceAuPré="",0,SUMIF(ChoixEspèceAuPré,Bisons,NbreFemelles_12_18MoisAuPréEté))</f>
        <v>#REF!</v>
      </c>
      <c r="T98" s="367" t="e">
        <f>IF(ChoixExpèceAuPré="",0,SUMIF(ChoixEspèceAuPré,Daims,NbreFemelles_12_18MoisAuPréEté))</f>
        <v>#REF!</v>
      </c>
      <c r="U98" s="367" t="e">
        <f>IF(ChoixExpèceAuPré="",0,SUMIF(ChoixEspèceAuPré,ChevauxSelle,NbreFemelles_12_18MoisAuPréEté))</f>
        <v>#REF!</v>
      </c>
      <c r="V98" s="367" t="e">
        <f>IF(ChoixExpèceAuPré="",0,SUMIF(ChoixEspèceAuPré,ChevauxTrait,NbreFemelles_12_18MoisAuPréEté))</f>
        <v>#REF!</v>
      </c>
      <c r="W98" s="367" t="e">
        <f>IF(ChoixExpèceAuPré="",0,SUMIF(ChoixEspèceAuPré,Poneys,NbreFemelles_12_18MoisAuPréEté))</f>
        <v>#REF!</v>
      </c>
      <c r="Y98" s="367" t="s">
        <v>858</v>
      </c>
      <c r="Z98" s="367">
        <f>IF('coût alimentation'!$B$6=$Y$98,70,0)</f>
        <v>0</v>
      </c>
      <c r="AA98" s="367">
        <f>IF(AND(ChoixBovinsPréEté="OUI",'coût alimentation'!$B$6=$Y$98),35,Z98)</f>
        <v>0</v>
      </c>
      <c r="AB98" s="367">
        <f>IF('coût alimentation'!$B$6=$Y$98,42,0)</f>
        <v>0</v>
      </c>
      <c r="AC98" s="367">
        <f>IF(AND(ChoixCaprinsPréEté="OUI",'coût alimentation'!$B$6=$Y$98),35,Z98)</f>
        <v>0</v>
      </c>
      <c r="AD98" s="367">
        <f>IF(AND(ChoixOvinsPréEté="OUI",'coût alimentation'!$B$6=$Y$98),35,Z98)</f>
        <v>0</v>
      </c>
      <c r="AE98" s="367">
        <f>IF(AND(ChoixChevauxSellePréEté="OUI",'coût alimentation'!$B$6=$Y$98),21,IF(Y98&lt;&gt;'coût alimentation'!$B$6,0,84))</f>
        <v>0</v>
      </c>
      <c r="AF98" s="367">
        <f>IF(AND(ChoixChevauxTraitPréEté="OUI",'coût alimentation'!$B$6=$Y$98),21,IF(Y98&lt;&gt;'coût alimentation'!$B$6,0,84))</f>
        <v>0</v>
      </c>
      <c r="AG98" s="367">
        <f>IF(AND(ChoixPoneysPréEté="OUI",'coût alimentation'!$B$6=$Y$98),21,IF(Y98&lt;&gt;'coût alimentation'!$B$6,0,84))</f>
        <v>0</v>
      </c>
      <c r="BB98" s="369" t="s">
        <v>440</v>
      </c>
      <c r="BC98" s="344" t="s">
        <v>439</v>
      </c>
      <c r="BD98" s="344" t="s">
        <v>711</v>
      </c>
      <c r="BE98" s="370">
        <v>28</v>
      </c>
      <c r="BF98" s="370">
        <v>24</v>
      </c>
      <c r="BG98" s="370">
        <v>16</v>
      </c>
      <c r="BH98" s="370">
        <v>12</v>
      </c>
      <c r="BI98" s="370">
        <v>8</v>
      </c>
      <c r="BJ98" s="370">
        <v>4</v>
      </c>
      <c r="BK98" s="371">
        <v>0</v>
      </c>
      <c r="BL98" s="305"/>
      <c r="BM98" s="332" t="str">
        <f t="shared" si="7"/>
        <v>Ration complète</v>
      </c>
      <c r="BN98" s="332">
        <f t="array" ref="BN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36 et plus],MATCH(ChoixRationBisons&amp;$BM98,Règles_bison[Ration]&amp;Règles_bison[Aliment],0)),0),0)*TotalBisonnes*NbreJoursNourrirBisonsDaims)</f>
        <v>0</v>
      </c>
      <c r="BO98" s="332">
        <f t="array" ref="BO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24-36],MATCH(ChoixRationBisons&amp;$BM98,Règles_bison[Ration]&amp;Règles_bison[Aliment],0)),0),0)*TotalBisonsFemelles_24_36_mois*NbreJoursNourrirBisonsDaims)</f>
        <v>0</v>
      </c>
      <c r="BP98" s="332">
        <f t="array" ref="BP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18-24],MATCH(ChoixRationBisons&amp;$BM98,Règles_bison[Ration]&amp;Règles_bison[Aliment],0)),0),0)*TotalBisonsFemelles_18_24_mois*NbreJoursNourrirBisonsDaims)</f>
        <v>0</v>
      </c>
      <c r="BQ98" s="332">
        <f t="array" ref="BQ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12-18],MATCH(ChoixRationBisons&amp;$BM98,Règles_bison[Ration]&amp;Règles_bison[Aliment],0)),0),0)*TotalBisonsFemelles_12_18_mois*NbreJoursNourrirBisonsDaims)</f>
        <v>0</v>
      </c>
      <c r="BR98" s="332">
        <f t="array" ref="BR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6-12],MATCH(ChoixRationBisons&amp;$BM98,Règles_bison[Ration]&amp;Règles_bison[Aliment],0)),0),0)*TotalBisonsFemelles_6_12_mois*NbreJoursNourrirBisonsDaims)</f>
        <v>0</v>
      </c>
      <c r="BS98" s="332">
        <f t="array" ref="BS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3-6],MATCH(ChoixRationBisons&amp;$BM98,Règles_bison[Ration]&amp;Règles_bison[Aliment],0)),0),0)*TotalBisonsFemelles_3_6_mois*NbreJoursNourrirBisonsDaims)</f>
        <v>0</v>
      </c>
      <c r="BT98" s="332">
        <f t="array" ref="BT98">IF(Ration_hivernale_complète_bisons[somme]&gt;0,0,IFERROR(IF(OR(AND(INDEX(Règles_bison[Specificite],MATCH(ChoixRationBisons&amp;$BM98,Règles_bison[Ration]&amp;Règles_bison[Aliment],0))="s1",IF($BM98=ChoixSpécificité1Bisons,1)),
INDEX(Règles_bison[Specificite],MATCH(ChoixRationBisons&amp;$BM98,Règles_bison[Ration]&amp;Règles_bison[Aliment],0))="c"),
INDEX(Règles_bison[Valeur 0-3],MATCH(ChoixRationBisons&amp;$BM98,Règles_bison[Ration]&amp;Règles_bison[Aliment],0)),0),0)*TotalBisonsFemelles_0_3_mois*NbreJoursNourrirBisonsDaims)</f>
        <v>0</v>
      </c>
      <c r="BU98" s="332">
        <f t="shared" si="6"/>
        <v>0</v>
      </c>
      <c r="BV98" s="282"/>
      <c r="BW98" s="282"/>
      <c r="BX98" s="355"/>
      <c r="BY98" s="280"/>
      <c r="BZ98" s="280"/>
      <c r="CA98" s="280"/>
      <c r="CB98" s="280"/>
      <c r="CC98" s="280"/>
      <c r="CD98" s="392"/>
      <c r="CE98" s="297"/>
      <c r="CF98" s="297"/>
      <c r="CG98" s="297"/>
      <c r="CH98" s="297"/>
    </row>
    <row r="99" spans="1:86" ht="12.75" customHeight="1" x14ac:dyDescent="0.2">
      <c r="A99" s="355" t="s">
        <v>296</v>
      </c>
      <c r="B99" s="362">
        <f>1/1000</f>
        <v>1E-3</v>
      </c>
      <c r="F99" s="280" t="s">
        <v>425</v>
      </c>
      <c r="G99" s="280" t="s">
        <v>638</v>
      </c>
      <c r="H99" s="312" t="s">
        <v>669</v>
      </c>
      <c r="I99" s="311" t="s">
        <v>662</v>
      </c>
      <c r="J99" s="280" t="s">
        <v>639</v>
      </c>
      <c r="K99" s="312" t="s">
        <v>671</v>
      </c>
      <c r="L99" s="280" t="s">
        <v>640</v>
      </c>
      <c r="N99" s="277"/>
      <c r="O99" s="367" t="s">
        <v>781</v>
      </c>
      <c r="P99" s="367" t="e">
        <f>IF(ChoixExpèceAuPré="",0,SUMIF(ChoixEspèceAuPré,Bovins,NbreMâles_18_24MoisAuPréEté))</f>
        <v>#REF!</v>
      </c>
      <c r="Q99" s="367" t="e">
        <f>IF(ChoixExpèceAuPré="",0,SUMIF(ChoixEspèceAuPré,Ovins,NbreMâles_18_24MoisAuPréEté))</f>
        <v>#REF!</v>
      </c>
      <c r="R99" s="367" t="e">
        <f>IF(ChoixExpèceAuPré="",0,SUMIF(ChoixEspèceAuPré,Caprins,NbreMâles_18_24MoisAuPréEté))</f>
        <v>#REF!</v>
      </c>
      <c r="S99" s="367" t="e">
        <f>IF(ChoixExpèceAuPré="",0,SUMIF(ChoixEspèceAuPré,Bisons,NbreMâles_18_24MoisAuPréEté))</f>
        <v>#REF!</v>
      </c>
      <c r="T99" s="367" t="e">
        <f>IF(ChoixExpèceAuPré="",0,SUMIF(ChoixEspèceAuPré,Daims,NbreMâles_18_24MoisAuPréEté))</f>
        <v>#REF!</v>
      </c>
      <c r="U99" s="367" t="e">
        <f>IF(ChoixExpèceAuPré="",0,SUMIF(ChoixEspèceAuPré,ChevauxSelle,NbreMâles_18_24MoisAuPréEté))</f>
        <v>#REF!</v>
      </c>
      <c r="V99" s="367" t="e">
        <f>IF(ChoixExpèceAuPré="",0,SUMIF(ChoixEspèceAuPré,ChevauxTrait,NbreMâles_18_24MoisAuPréEté))</f>
        <v>#REF!</v>
      </c>
      <c r="W99" s="367" t="e">
        <f>IF(ChoixExpèceAuPré="",0,SUMIF(ChoixEspèceAuPré,Poneys,NbreMâles_18_24MoisAuPréEté))</f>
        <v>#REF!</v>
      </c>
      <c r="Y99" s="367" t="s">
        <v>859</v>
      </c>
      <c r="Z99" s="367">
        <f>IF('coût alimentation'!$B$6=$Y$99,77,0)</f>
        <v>0</v>
      </c>
      <c r="AA99" s="367">
        <f>IF(AND(ChoixBovinsPréEté="OUI",'coût alimentation'!$B$6=$Y$99),35,Z99)</f>
        <v>0</v>
      </c>
      <c r="AB99" s="367">
        <f>IF('coût alimentation'!$B$6=$Y$99,42,0)</f>
        <v>0</v>
      </c>
      <c r="AC99" s="367">
        <f>IF(AND(ChoixCaprinsPréEté="OUI",'coût alimentation'!$B$6=$Y$99),35,Z99)</f>
        <v>0</v>
      </c>
      <c r="AD99" s="367">
        <f>IF(AND(ChoixOvinsPréEté="OUI",'coût alimentation'!$B$6=$Y$99),35,Z99)</f>
        <v>0</v>
      </c>
      <c r="AE99" s="367">
        <f>IF(AND(ChoixChevauxSellePréEté="OUI",'coût alimentation'!$B$6=$Y$99),21,IF(Y99&lt;&gt;'coût alimentation'!$B$6,0,84))</f>
        <v>0</v>
      </c>
      <c r="AF99" s="367">
        <f>IF(AND(ChoixChevauxTraitPréEté="OUI",'coût alimentation'!$B$6=$Y$99),21,IF(Y99&lt;&gt;'coût alimentation'!$B$6,0,84))</f>
        <v>0</v>
      </c>
      <c r="AG99" s="367">
        <f>IF(AND(ChoixPoneysPréEté="OUI",'coût alimentation'!$B$6=$Y$99),21,IF(Y99&lt;&gt;'coût alimentation'!$B$6,0,84))</f>
        <v>0</v>
      </c>
      <c r="BB99" s="369" t="s">
        <v>440</v>
      </c>
      <c r="BC99" s="344" t="s">
        <v>383</v>
      </c>
      <c r="BD99" s="344" t="s">
        <v>712</v>
      </c>
      <c r="BE99" s="370">
        <v>7.2</v>
      </c>
      <c r="BF99" s="370">
        <v>6</v>
      </c>
      <c r="BG99" s="370">
        <v>4</v>
      </c>
      <c r="BH99" s="370">
        <v>2</v>
      </c>
      <c r="BI99" s="370">
        <v>1.2</v>
      </c>
      <c r="BJ99" s="370">
        <v>0.6</v>
      </c>
      <c r="BK99" s="371">
        <v>0</v>
      </c>
      <c r="BL99" s="305"/>
      <c r="BM99" s="332" t="str">
        <f t="shared" si="7"/>
        <v>Seigle</v>
      </c>
      <c r="BN99" s="332">
        <f t="array" ref="BN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36 et plus],MATCH(ChoixRationBisons&amp;$BM99,Règles_bison[Ration]&amp;Règles_bison[Aliment],0)),0),0)*TotalBisonnes*NbreJoursNourrirBisonsDaims)</f>
        <v>0</v>
      </c>
      <c r="BO99" s="332">
        <f t="array" ref="BO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24-36],MATCH(ChoixRationBisons&amp;$BM99,Règles_bison[Ration]&amp;Règles_bison[Aliment],0)),0),0)*TotalBisonsFemelles_24_36_mois*NbreJoursNourrirBisonsDaims)</f>
        <v>0</v>
      </c>
      <c r="BP99" s="332">
        <f t="array" ref="BP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18-24],MATCH(ChoixRationBisons&amp;$BM99,Règles_bison[Ration]&amp;Règles_bison[Aliment],0)),0),0)*TotalBisonsFemelles_18_24_mois*NbreJoursNourrirBisonsDaims)</f>
        <v>0</v>
      </c>
      <c r="BQ99" s="332">
        <f t="array" ref="BQ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12-18],MATCH(ChoixRationBisons&amp;$BM99,Règles_bison[Ration]&amp;Règles_bison[Aliment],0)),0),0)*TotalBisonsFemelles_12_18_mois*NbreJoursNourrirBisonsDaims)</f>
        <v>0</v>
      </c>
      <c r="BR99" s="332">
        <f t="array" ref="BR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6-12],MATCH(ChoixRationBisons&amp;$BM99,Règles_bison[Ration]&amp;Règles_bison[Aliment],0)),0),0)*TotalBisonsFemelles_6_12_mois*NbreJoursNourrirBisonsDaims)</f>
        <v>0</v>
      </c>
      <c r="BS99" s="332">
        <f t="array" ref="BS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3-6],MATCH(ChoixRationBisons&amp;$BM99,Règles_bison[Ration]&amp;Règles_bison[Aliment],0)),0),0)*TotalBisonsFemelles_3_6_mois*NbreJoursNourrirBisonsDaims)</f>
        <v>0</v>
      </c>
      <c r="BT99" s="332">
        <f t="array" ref="BT99">IF(Ration_hivernale_complète_bisons[somme]&gt;0,0,IFERROR(IF(OR(AND(INDEX(Règles_bison[Specificite],MATCH(ChoixRationBisons&amp;$BM99,Règles_bison[Ration]&amp;Règles_bison[Aliment],0))="s1",IF($BM99=ChoixSpécificité1Bisons,1)),
INDEX(Règles_bison[Specificite],MATCH(ChoixRationBisons&amp;$BM99,Règles_bison[Ration]&amp;Règles_bison[Aliment],0))="c"),
INDEX(Règles_bison[Valeur 0-3],MATCH(ChoixRationBisons&amp;$BM99,Règles_bison[Ration]&amp;Règles_bison[Aliment],0)),0),0)*TotalBisonsFemelles_0_3_mois*NbreJoursNourrirBisonsDaims)</f>
        <v>0</v>
      </c>
      <c r="BU99" s="332">
        <f t="shared" si="6"/>
        <v>0</v>
      </c>
      <c r="BV99" s="282"/>
      <c r="BW99" s="282"/>
      <c r="BX99" s="355"/>
      <c r="BY99" s="280"/>
      <c r="BZ99" s="280"/>
      <c r="CA99" s="280"/>
      <c r="CB99" s="280"/>
      <c r="CC99" s="280"/>
      <c r="CD99" s="392"/>
      <c r="CE99" s="297"/>
      <c r="CF99" s="297"/>
      <c r="CG99" s="297"/>
      <c r="CH99" s="297"/>
    </row>
    <row r="100" spans="1:86" ht="12.75" customHeight="1" x14ac:dyDescent="0.2">
      <c r="A100" s="355" t="s">
        <v>328</v>
      </c>
      <c r="B100" s="362">
        <f t="shared" ref="B100:B129" si="8">1/1000</f>
        <v>1E-3</v>
      </c>
      <c r="F100" s="280" t="s">
        <v>426</v>
      </c>
      <c r="G100" s="280" t="s">
        <v>638</v>
      </c>
      <c r="H100" s="312" t="s">
        <v>669</v>
      </c>
      <c r="I100" s="311" t="s">
        <v>662</v>
      </c>
      <c r="J100" s="280" t="s">
        <v>639</v>
      </c>
      <c r="K100" s="312" t="s">
        <v>671</v>
      </c>
      <c r="L100" s="280" t="s">
        <v>640</v>
      </c>
      <c r="N100" s="277"/>
      <c r="O100" s="367" t="s">
        <v>782</v>
      </c>
      <c r="P100" s="367" t="e">
        <f>IF(ChoixExpèceAuPré="",0,SUMIF(ChoixEspèceAuPré,Bovins,NbreFemelles_18_24MoisAuPréEté))</f>
        <v>#REF!</v>
      </c>
      <c r="Q100" s="367" t="e">
        <f>IF(ChoixExpèceAuPré="",0,SUMIF(ChoixEspèceAuPré,Ovins,NbreFemelles_18_24MoisAuPréEté))</f>
        <v>#REF!</v>
      </c>
      <c r="R100" s="367" t="e">
        <f>IF(ChoixExpèceAuPré="",0,SUMIF(ChoixEspèceAuPré,Caprins,NbreFemelles_18_24MoisAuPréEté))</f>
        <v>#REF!</v>
      </c>
      <c r="S100" s="367" t="e">
        <f>IF(ChoixExpèceAuPré="",0,SUMIF(ChoixEspèceAuPré,Bisons,NbreFemelles_18_24MoisAuPréEté))</f>
        <v>#REF!</v>
      </c>
      <c r="T100" s="367" t="e">
        <f>IF(ChoixExpèceAuPré="",0,SUMIF(ChoixEspèceAuPré,Daims,NbreFemelles_18_24MoisAuPréEté))</f>
        <v>#REF!</v>
      </c>
      <c r="U100" s="367" t="e">
        <f>IF(ChoixExpèceAuPré="",0,SUMIF(ChoixEspèceAuPré,ChevauxSelle,NbreFemelles_18_24MoisAuPréEté))</f>
        <v>#REF!</v>
      </c>
      <c r="V100" s="367" t="e">
        <f>IF(ChoixExpèceAuPré="",0,SUMIF(ChoixEspèceAuPré,ChevauxTrait,NbreFemelles_18_24MoisAuPréEté))</f>
        <v>#REF!</v>
      </c>
      <c r="W100" s="367" t="e">
        <f>IF(ChoixExpèceAuPré="",0,SUMIF(ChoixEspèceAuPré,Poneys,NbreFemelles_18_24MoisAuPréEté))</f>
        <v>#REF!</v>
      </c>
      <c r="Y100" s="367" t="s">
        <v>244</v>
      </c>
      <c r="Z100" s="367">
        <f>IF('coût alimentation'!$B$6=$Y$100,84,0)</f>
        <v>0</v>
      </c>
      <c r="AA100" s="367">
        <f>IF(AND(ChoixBovinsPréEté="OUI",'coût alimentation'!$B$6=$Y$100),42,Z100)</f>
        <v>0</v>
      </c>
      <c r="AB100" s="367">
        <f>IF('coût alimentation'!$B$6=$Y$100,42,0)</f>
        <v>0</v>
      </c>
      <c r="AC100" s="367">
        <f>IF(AND(ChoixCaprinsPréEté="OUI",'coût alimentation'!$B$6=$Y$100),42,Z100)</f>
        <v>0</v>
      </c>
      <c r="AD100" s="367">
        <f>IF(AND(ChoixOvinsPréEté="OUI",'coût alimentation'!$B$6=$Y$100),42,Z100)</f>
        <v>0</v>
      </c>
      <c r="AE100" s="367">
        <f>IF(AND(ChoixChevauxSellePréEté="OUI",'coût alimentation'!$B$6=$Y$100),21,IF(Y100&lt;&gt;'coût alimentation'!$B$6,0,84))</f>
        <v>0</v>
      </c>
      <c r="AF100" s="367">
        <f>IF(AND(ChoixChevauxTraitPréEté="OUI",'coût alimentation'!$B$6=$Y$100),21,IF(Y100&lt;&gt;'coût alimentation'!$B$6,0,84))</f>
        <v>0</v>
      </c>
      <c r="AG100" s="367">
        <f>IF(AND(ChoixPoneysPréEté="OUI",'coût alimentation'!$B$6=$Y$100),21,IF(Y100&lt;&gt;'coût alimentation'!$B$6,0,84))</f>
        <v>0</v>
      </c>
      <c r="BB100" s="369" t="s">
        <v>440</v>
      </c>
      <c r="BC100" s="344" t="s">
        <v>160</v>
      </c>
      <c r="BD100" s="344" t="s">
        <v>712</v>
      </c>
      <c r="BE100" s="370">
        <v>7.2</v>
      </c>
      <c r="BF100" s="370">
        <v>6</v>
      </c>
      <c r="BG100" s="370">
        <v>4</v>
      </c>
      <c r="BH100" s="370">
        <v>2</v>
      </c>
      <c r="BI100" s="370">
        <v>1.2</v>
      </c>
      <c r="BJ100" s="370">
        <v>0.6</v>
      </c>
      <c r="BK100" s="371">
        <v>0</v>
      </c>
      <c r="BL100" s="305"/>
      <c r="BM100" s="332" t="str">
        <f t="shared" si="7"/>
        <v>Soja</v>
      </c>
      <c r="BN100" s="332">
        <f t="array" ref="BN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36 et plus],MATCH(ChoixRationBisons&amp;$BM100,Règles_bison[Ration]&amp;Règles_bison[Aliment],0)),0),0)*TotalBisonnes*NbreJoursNourrirBisonsDaims)</f>
        <v>0</v>
      </c>
      <c r="BO100" s="332">
        <f t="array" ref="BO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24-36],MATCH(ChoixRationBisons&amp;$BM100,Règles_bison[Ration]&amp;Règles_bison[Aliment],0)),0),0)*TotalBisonsFemelles_24_36_mois*NbreJoursNourrirBisonsDaims)</f>
        <v>0</v>
      </c>
      <c r="BP100" s="332">
        <f t="array" ref="BP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18-24],MATCH(ChoixRationBisons&amp;$BM100,Règles_bison[Ration]&amp;Règles_bison[Aliment],0)),0),0)*TotalBisonsFemelles_18_24_mois*NbreJoursNourrirBisonsDaims)</f>
        <v>0</v>
      </c>
      <c r="BQ100" s="332">
        <f t="array" ref="BQ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12-18],MATCH(ChoixRationBisons&amp;$BM100,Règles_bison[Ration]&amp;Règles_bison[Aliment],0)),0),0)*TotalBisonsFemelles_12_18_mois*NbreJoursNourrirBisonsDaims)</f>
        <v>0</v>
      </c>
      <c r="BR100" s="332">
        <f t="array" ref="BR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6-12],MATCH(ChoixRationBisons&amp;$BM100,Règles_bison[Ration]&amp;Règles_bison[Aliment],0)),0),0)*TotalBisonsFemelles_6_12_mois*NbreJoursNourrirBisonsDaims)</f>
        <v>0</v>
      </c>
      <c r="BS100" s="332">
        <f t="array" ref="BS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3-6],MATCH(ChoixRationBisons&amp;$BM100,Règles_bison[Ration]&amp;Règles_bison[Aliment],0)),0),0)*TotalBisonsFemelles_3_6_mois*NbreJoursNourrirBisonsDaims)</f>
        <v>0</v>
      </c>
      <c r="BT100" s="332">
        <f t="array" ref="BT100">IF(Ration_hivernale_complète_bisons[somme]&gt;0,0,IFERROR(IF(OR(AND(INDEX(Règles_bison[Specificite],MATCH(ChoixRationBisons&amp;$BM100,Règles_bison[Ration]&amp;Règles_bison[Aliment],0))="s1",IF($BM100=ChoixSpécificité1Bisons,1)),
INDEX(Règles_bison[Specificite],MATCH(ChoixRationBisons&amp;$BM100,Règles_bison[Ration]&amp;Règles_bison[Aliment],0))="c"),
INDEX(Règles_bison[Valeur 0-3],MATCH(ChoixRationBisons&amp;$BM100,Règles_bison[Ration]&amp;Règles_bison[Aliment],0)),0),0)*TotalBisonsFemelles_0_3_mois*NbreJoursNourrirBisonsDaims)</f>
        <v>0</v>
      </c>
      <c r="BU100" s="332">
        <f t="shared" si="6"/>
        <v>0</v>
      </c>
      <c r="BV100" s="282"/>
      <c r="BW100" s="282"/>
      <c r="BX100" s="355"/>
      <c r="BY100" s="280"/>
      <c r="BZ100" s="280"/>
      <c r="CA100" s="280"/>
      <c r="CB100" s="280"/>
      <c r="CC100" s="280"/>
      <c r="CD100" s="392"/>
      <c r="CE100" s="297"/>
      <c r="CF100" s="297"/>
      <c r="CG100" s="297"/>
      <c r="CH100" s="297"/>
    </row>
    <row r="101" spans="1:86" ht="12.75" customHeight="1" x14ac:dyDescent="0.2">
      <c r="A101" s="355" t="s">
        <v>329</v>
      </c>
      <c r="B101" s="362">
        <f t="shared" si="8"/>
        <v>1E-3</v>
      </c>
      <c r="F101" s="280" t="s">
        <v>168</v>
      </c>
      <c r="G101" s="280" t="s">
        <v>641</v>
      </c>
      <c r="H101" s="312" t="s">
        <v>670</v>
      </c>
      <c r="I101" s="280" t="s">
        <v>642</v>
      </c>
      <c r="J101" s="280" t="s">
        <v>643</v>
      </c>
      <c r="K101" s="312" t="s">
        <v>670</v>
      </c>
      <c r="L101" s="280">
        <v>0</v>
      </c>
      <c r="N101" s="277"/>
      <c r="O101" s="367" t="s">
        <v>783</v>
      </c>
      <c r="P101" s="367" t="e">
        <f>IF(ChoixExpèceAuPré="",0,SUMIF(ChoixEspèceAuPré,Bovins,NbreMâles_24_36MoisAuPréEté))</f>
        <v>#REF!</v>
      </c>
      <c r="Q101" s="367" t="e">
        <f>IF(ChoixExpèceAuPré="",0,SUMIF(ChoixEspèceAuPré,Ovins,NbreMâles_24_36MoisAuPréEté))</f>
        <v>#REF!</v>
      </c>
      <c r="R101" s="367" t="e">
        <f>IF(ChoixExpèceAuPré="",0,SUMIF(ChoixEspèceAuPré,Caprins,NbreMâles_24_36MoisAuPréEté))</f>
        <v>#REF!</v>
      </c>
      <c r="S101" s="367" t="e">
        <f>IF(ChoixExpèceAuPré="",0,SUMIF(ChoixEspèceAuPré,Bisons,NbreMâles_24_36MoisAuPréEté))</f>
        <v>#REF!</v>
      </c>
      <c r="T101" s="367" t="e">
        <f>IF(ChoixExpèceAuPré="",0,SUMIF(ChoixEspèceAuPré,Daims,NbreMâles_24_36MoisAuPréEté))</f>
        <v>#REF!</v>
      </c>
      <c r="U101" s="367" t="e">
        <f>IF(ChoixExpèceAuPré="",0,SUMIF(ChoixEspèceAuPré,ChevauxSelle,NbreMâles_24_36MoisAuPréEté))</f>
        <v>#REF!</v>
      </c>
      <c r="V101" s="367" t="e">
        <f>IF(ChoixExpèceAuPré="",0,SUMIF(ChoixEspèceAuPré,ChevauxTrait,NbreMâles_24_36MoisAuPréEté))</f>
        <v>#REF!</v>
      </c>
      <c r="W101" s="367" t="e">
        <f>IF(ChoixExpèceAuPré="",0,SUMIF(ChoixEspèceAuPré,Poneys,NbreMâles_24_36MoisAuPréEté))</f>
        <v>#REF!</v>
      </c>
      <c r="BB101" s="369" t="s">
        <v>440</v>
      </c>
      <c r="BC101" s="344" t="s">
        <v>47</v>
      </c>
      <c r="BD101" s="344" t="s">
        <v>712</v>
      </c>
      <c r="BE101" s="370">
        <v>7.2</v>
      </c>
      <c r="BF101" s="370">
        <v>6</v>
      </c>
      <c r="BG101" s="370">
        <v>4</v>
      </c>
      <c r="BH101" s="370">
        <v>2</v>
      </c>
      <c r="BI101" s="370">
        <v>1.2</v>
      </c>
      <c r="BJ101" s="370">
        <v>0.6</v>
      </c>
      <c r="BK101" s="371">
        <v>0</v>
      </c>
      <c r="BL101" s="305"/>
      <c r="BM101" s="332" t="str">
        <f t="shared" si="7"/>
        <v>Sorgho ensilé</v>
      </c>
      <c r="BN101" s="332">
        <f t="array" ref="BN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36 et plus],MATCH(ChoixRationBisons&amp;$BM101,Règles_bison[Ration]&amp;Règles_bison[Aliment],0)),0),0)*TotalBisonnes*NbreJoursNourrirBisonsDaims)</f>
        <v>0</v>
      </c>
      <c r="BO101" s="332">
        <f t="array" ref="BO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24-36],MATCH(ChoixRationBisons&amp;$BM101,Règles_bison[Ration]&amp;Règles_bison[Aliment],0)),0),0)*TotalBisonsFemelles_24_36_mois*NbreJoursNourrirBisonsDaims)</f>
        <v>0</v>
      </c>
      <c r="BP101" s="332">
        <f t="array" ref="BP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18-24],MATCH(ChoixRationBisons&amp;$BM101,Règles_bison[Ration]&amp;Règles_bison[Aliment],0)),0),0)*TotalBisonsFemelles_18_24_mois*NbreJoursNourrirBisonsDaims)</f>
        <v>0</v>
      </c>
      <c r="BQ101" s="332">
        <f t="array" ref="BQ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12-18],MATCH(ChoixRationBisons&amp;$BM101,Règles_bison[Ration]&amp;Règles_bison[Aliment],0)),0),0)*TotalBisonsFemelles_12_18_mois*NbreJoursNourrirBisonsDaims)</f>
        <v>0</v>
      </c>
      <c r="BR101" s="332">
        <f t="array" ref="BR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6-12],MATCH(ChoixRationBisons&amp;$BM101,Règles_bison[Ration]&amp;Règles_bison[Aliment],0)),0),0)*TotalBisonsFemelles_6_12_mois*NbreJoursNourrirBisonsDaims)</f>
        <v>0</v>
      </c>
      <c r="BS101" s="332">
        <f t="array" ref="BS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3-6],MATCH(ChoixRationBisons&amp;$BM101,Règles_bison[Ration]&amp;Règles_bison[Aliment],0)),0),0)*TotalBisonsFemelles_3_6_mois*NbreJoursNourrirBisonsDaims)</f>
        <v>0</v>
      </c>
      <c r="BT101" s="332">
        <f t="array" ref="BT101">IF(Ration_hivernale_complète_bisons[somme]&gt;0,0,IFERROR(IF(OR(AND(INDEX(Règles_bison[Specificite],MATCH(ChoixRationBisons&amp;$BM101,Règles_bison[Ration]&amp;Règles_bison[Aliment],0))="s1",IF($BM101=ChoixSpécificité1Bisons,1)),
INDEX(Règles_bison[Specificite],MATCH(ChoixRationBisons&amp;$BM101,Règles_bison[Ration]&amp;Règles_bison[Aliment],0))="c"),
INDEX(Règles_bison[Valeur 0-3],MATCH(ChoixRationBisons&amp;$BM101,Règles_bison[Ration]&amp;Règles_bison[Aliment],0)),0),0)*TotalBisonsFemelles_0_3_mois*NbreJoursNourrirBisonsDaims)</f>
        <v>0</v>
      </c>
      <c r="BU101" s="332">
        <f t="shared" si="6"/>
        <v>0</v>
      </c>
      <c r="BV101" s="282"/>
      <c r="BW101" s="282"/>
      <c r="BX101" s="355"/>
      <c r="BY101" s="280"/>
      <c r="BZ101" s="280"/>
      <c r="CA101" s="280"/>
      <c r="CB101" s="280"/>
      <c r="CC101" s="280"/>
      <c r="CD101" s="392"/>
      <c r="CE101" s="297"/>
      <c r="CF101" s="297"/>
      <c r="CG101" s="297"/>
      <c r="CH101" s="297"/>
    </row>
    <row r="102" spans="1:86" ht="12.75" customHeight="1" x14ac:dyDescent="0.2">
      <c r="A102" s="355" t="s">
        <v>84</v>
      </c>
      <c r="B102" s="362">
        <f t="shared" si="8"/>
        <v>1E-3</v>
      </c>
      <c r="F102" s="280" t="s">
        <v>169</v>
      </c>
      <c r="G102" s="280">
        <v>0</v>
      </c>
      <c r="H102" s="312" t="s">
        <v>671</v>
      </c>
      <c r="I102" s="280" t="s">
        <v>644</v>
      </c>
      <c r="J102" s="311" t="s">
        <v>672</v>
      </c>
      <c r="K102" s="311" t="s">
        <v>660</v>
      </c>
      <c r="L102" s="311" t="s">
        <v>672</v>
      </c>
      <c r="N102" s="277"/>
      <c r="O102" s="367" t="s">
        <v>784</v>
      </c>
      <c r="P102" s="367" t="e">
        <f>IF(ChoixExpèceAuPré="",0,SUMIF(ChoixEspèceAuPré,Bovins,NbreFemelles_24_36MoisAuPréEté))</f>
        <v>#REF!</v>
      </c>
      <c r="Q102" s="367" t="e">
        <f>IF(ChoixExpèceAuPré="",0,SUMIF(ChoixEspèceAuPré,Ovins,NbreFemelles_24_36MoisAuPréEté))</f>
        <v>#REF!</v>
      </c>
      <c r="R102" s="367" t="e">
        <f>IF(ChoixExpèceAuPré="",0,SUMIF(ChoixEspèceAuPré,Caprins,NbreFemelles_24_36MoisAuPréEté))</f>
        <v>#REF!</v>
      </c>
      <c r="S102" s="367" t="e">
        <f>IF(ChoixExpèceAuPré="",0,SUMIF(ChoixEspèceAuPré,Bisons,NbreFemelles_24_36MoisAuPréEté))</f>
        <v>#REF!</v>
      </c>
      <c r="T102" s="367" t="e">
        <f>IF(ChoixExpèceAuPré="",0,SUMIF(ChoixEspèceAuPré,Daims,NbreFemelles_24_36MoisAuPréEté))</f>
        <v>#REF!</v>
      </c>
      <c r="U102" s="367" t="e">
        <f>IF(ChoixExpèceAuPré="",0,SUMIF(ChoixEspèceAuPré,ChevauxSelle,NbreFemelles_24_36MoisAuPréEté))</f>
        <v>#REF!</v>
      </c>
      <c r="V102" s="367" t="e">
        <f>IF(ChoixExpèceAuPré="",0,SUMIF(ChoixEspèceAuPré,ChevauxTrait,NbreFemelles_24_36MoisAuPréEté))</f>
        <v>#REF!</v>
      </c>
      <c r="W102" s="367" t="e">
        <f>IF(ChoixExpèceAuPré="",0,SUMIF(ChoixEspèceAuPré,Poneys,NbreFemelles_24_36MoisAuPréEté))</f>
        <v>#REF!</v>
      </c>
      <c r="BB102" s="369" t="s">
        <v>440</v>
      </c>
      <c r="BC102" s="344" t="s">
        <v>732</v>
      </c>
      <c r="BD102" s="344" t="s">
        <v>713</v>
      </c>
      <c r="BE102" s="370">
        <v>4.8</v>
      </c>
      <c r="BF102" s="370">
        <v>4</v>
      </c>
      <c r="BG102" s="370">
        <v>4</v>
      </c>
      <c r="BH102" s="370">
        <v>4</v>
      </c>
      <c r="BI102" s="370">
        <v>2</v>
      </c>
      <c r="BJ102" s="370">
        <v>1.2</v>
      </c>
      <c r="BK102" s="371">
        <v>0</v>
      </c>
      <c r="BL102" s="305"/>
      <c r="BM102" s="332" t="str">
        <f t="shared" si="7"/>
        <v>Tournesol</v>
      </c>
      <c r="BN102" s="332">
        <f t="array" ref="BN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36 et plus],MATCH(ChoixRationBisons&amp;$BM102,Règles_bison[Ration]&amp;Règles_bison[Aliment],0)),0),0)*TotalBisonnes*NbreJoursNourrirBisonsDaims)</f>
        <v>0</v>
      </c>
      <c r="BO102" s="332">
        <f t="array" ref="BO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24-36],MATCH(ChoixRationBisons&amp;$BM102,Règles_bison[Ration]&amp;Règles_bison[Aliment],0)),0),0)*TotalBisonsFemelles_24_36_mois*NbreJoursNourrirBisonsDaims)</f>
        <v>0</v>
      </c>
      <c r="BP102" s="332">
        <f t="array" ref="BP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18-24],MATCH(ChoixRationBisons&amp;$BM102,Règles_bison[Ration]&amp;Règles_bison[Aliment],0)),0),0)*TotalBisonsFemelles_18_24_mois*NbreJoursNourrirBisonsDaims)</f>
        <v>0</v>
      </c>
      <c r="BQ102" s="332">
        <f t="array" ref="BQ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12-18],MATCH(ChoixRationBisons&amp;$BM102,Règles_bison[Ration]&amp;Règles_bison[Aliment],0)),0),0)*TotalBisonsFemelles_12_18_mois*NbreJoursNourrirBisonsDaims)</f>
        <v>0</v>
      </c>
      <c r="BR102" s="332">
        <f t="array" ref="BR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6-12],MATCH(ChoixRationBisons&amp;$BM102,Règles_bison[Ration]&amp;Règles_bison[Aliment],0)),0),0)*TotalBisonsFemelles_6_12_mois*NbreJoursNourrirBisonsDaims)</f>
        <v>0</v>
      </c>
      <c r="BS102" s="332">
        <f t="array" ref="BS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3-6],MATCH(ChoixRationBisons&amp;$BM102,Règles_bison[Ration]&amp;Règles_bison[Aliment],0)),0),0)*TotalBisonsFemelles_3_6_mois*NbreJoursNourrirBisonsDaims)</f>
        <v>0</v>
      </c>
      <c r="BT102" s="332">
        <f t="array" ref="BT102">IF(Ration_hivernale_complète_bisons[somme]&gt;0,0,IFERROR(IF(OR(AND(INDEX(Règles_bison[Specificite],MATCH(ChoixRationBisons&amp;$BM102,Règles_bison[Ration]&amp;Règles_bison[Aliment],0))="s1",IF($BM102=ChoixSpécificité1Bisons,1)),
INDEX(Règles_bison[Specificite],MATCH(ChoixRationBisons&amp;$BM102,Règles_bison[Ration]&amp;Règles_bison[Aliment],0))="c"),
INDEX(Règles_bison[Valeur 0-3],MATCH(ChoixRationBisons&amp;$BM102,Règles_bison[Ration]&amp;Règles_bison[Aliment],0)),0),0)*TotalBisonsFemelles_0_3_mois*NbreJoursNourrirBisonsDaims)</f>
        <v>0</v>
      </c>
      <c r="BU102" s="332">
        <f t="shared" si="6"/>
        <v>0</v>
      </c>
      <c r="BV102" s="282"/>
      <c r="BW102" s="282"/>
      <c r="BX102" s="358"/>
      <c r="BY102" s="298"/>
      <c r="BZ102" s="298"/>
      <c r="CA102" s="298"/>
      <c r="CB102" s="298"/>
      <c r="CC102" s="298"/>
      <c r="CD102" s="393"/>
      <c r="CE102" s="297"/>
      <c r="CF102" s="297"/>
      <c r="CG102" s="297"/>
      <c r="CH102" s="297"/>
    </row>
    <row r="103" spans="1:86" ht="12.75" customHeight="1" x14ac:dyDescent="0.2">
      <c r="A103" s="355" t="s">
        <v>85</v>
      </c>
      <c r="B103" s="362">
        <f t="shared" si="8"/>
        <v>1E-3</v>
      </c>
      <c r="F103" s="280" t="s">
        <v>170</v>
      </c>
      <c r="G103" s="280">
        <v>0</v>
      </c>
      <c r="H103" s="312" t="s">
        <v>671</v>
      </c>
      <c r="I103" s="280" t="s">
        <v>644</v>
      </c>
      <c r="J103" s="311" t="s">
        <v>672</v>
      </c>
      <c r="K103" s="311" t="s">
        <v>660</v>
      </c>
      <c r="L103" s="311" t="s">
        <v>672</v>
      </c>
      <c r="O103" s="367" t="s">
        <v>785</v>
      </c>
      <c r="P103" s="367" t="e">
        <f>IF(ChoixExpèceAuPré="",0,SUMIF(ChoixEspèceAuPré,Bovins,NbreMâles_3_AnsEtPlusAuPréEté))</f>
        <v>#REF!</v>
      </c>
      <c r="Q103" s="367" t="e">
        <f>IF(ChoixExpèceAuPré="",0,SUMIF(ChoixEspèceAuPré,Ovins,NbreMâles_3_AnsEtPlusAuPréEté))</f>
        <v>#REF!</v>
      </c>
      <c r="R103" s="367" t="e">
        <f>IF(ChoixExpèceAuPré="",0,SUMIF(ChoixEspèceAuPré,Caprins,NbreMâles_3_AnsEtPlusAuPréEté))</f>
        <v>#REF!</v>
      </c>
      <c r="S103" s="367" t="e">
        <f>IF(ChoixExpèceAuPré="",0,SUMIF(ChoixEspèceAuPré,Bisons,NbreMâles_3_AnsEtPlusAuPréEté))</f>
        <v>#REF!</v>
      </c>
      <c r="T103" s="367" t="e">
        <f>IF(ChoixExpèceAuPré="",0,SUMIF(ChoixEspèceAuPré,Daims,NbreMâles_3_AnsEtPlusAuPréEté))</f>
        <v>#REF!</v>
      </c>
      <c r="U103" s="367" t="e">
        <f>IF(ChoixExpèceAuPré="",0,SUMIF(ChoixEspèceAuPré,ChevauxSelle,NbreMâles_3_AnsEtPlusAuPréEté))</f>
        <v>#REF!</v>
      </c>
      <c r="V103" s="367" t="e">
        <f>IF(ChoixExpèceAuPré="",0,SUMIF(ChoixEspèceAuPré,ChevauxTrait,NbreMâles_3_AnsEtPlusAuPréEté))</f>
        <v>#REF!</v>
      </c>
      <c r="W103" s="367" t="e">
        <f>IF(ChoixExpèceAuPré="",0,SUMIF(ChoixEspèceAuPré,Poneys,NbreMâles_3_AnsEtPlusAuPréEté))</f>
        <v>#REF!</v>
      </c>
      <c r="BB103" s="369" t="s">
        <v>440</v>
      </c>
      <c r="BC103" s="344" t="s">
        <v>426</v>
      </c>
      <c r="BD103" s="344" t="s">
        <v>713</v>
      </c>
      <c r="BE103" s="370">
        <v>4.8</v>
      </c>
      <c r="BF103" s="370">
        <v>4</v>
      </c>
      <c r="BG103" s="370">
        <v>4</v>
      </c>
      <c r="BH103" s="370">
        <v>4</v>
      </c>
      <c r="BI103" s="370">
        <v>2</v>
      </c>
      <c r="BJ103" s="370">
        <v>1.2</v>
      </c>
      <c r="BK103" s="371">
        <v>0</v>
      </c>
      <c r="BL103" s="305"/>
      <c r="BM103" s="332" t="str">
        <f t="shared" si="7"/>
        <v>Tourteau de colza</v>
      </c>
      <c r="BN103" s="332">
        <f t="array" ref="BN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36 et plus],MATCH(ChoixRationBisons&amp;$BM103,Règles_bison[Ration]&amp;Règles_bison[Aliment],0)),0),0)*TotalBisonnes*NbreJoursNourrirBisonsDaims)</f>
        <v>0</v>
      </c>
      <c r="BO103" s="332">
        <f t="array" ref="BO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24-36],MATCH(ChoixRationBisons&amp;$BM103,Règles_bison[Ration]&amp;Règles_bison[Aliment],0)),0),0)*TotalBisonsFemelles_24_36_mois*NbreJoursNourrirBisonsDaims)</f>
        <v>0</v>
      </c>
      <c r="BP103" s="332">
        <f t="array" ref="BP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18-24],MATCH(ChoixRationBisons&amp;$BM103,Règles_bison[Ration]&amp;Règles_bison[Aliment],0)),0),0)*TotalBisonsFemelles_18_24_mois*NbreJoursNourrirBisonsDaims)</f>
        <v>0</v>
      </c>
      <c r="BQ103" s="332">
        <f t="array" ref="BQ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12-18],MATCH(ChoixRationBisons&amp;$BM103,Règles_bison[Ration]&amp;Règles_bison[Aliment],0)),0),0)*TotalBisonsFemelles_12_18_mois*NbreJoursNourrirBisonsDaims)</f>
        <v>0</v>
      </c>
      <c r="BR103" s="332">
        <f t="array" ref="BR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6-12],MATCH(ChoixRationBisons&amp;$BM103,Règles_bison[Ration]&amp;Règles_bison[Aliment],0)),0),0)*TotalBisonsFemelles_6_12_mois*NbreJoursNourrirBisonsDaims)</f>
        <v>0</v>
      </c>
      <c r="BS103" s="332">
        <f t="array" ref="BS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3-6],MATCH(ChoixRationBisons&amp;$BM103,Règles_bison[Ration]&amp;Règles_bison[Aliment],0)),0),0)*TotalBisonsFemelles_3_6_mois*NbreJoursNourrirBisonsDaims)</f>
        <v>0</v>
      </c>
      <c r="BT103" s="332">
        <f t="array" ref="BT103">IF(Ration_hivernale_complète_bisons[somme]&gt;0,0,IFERROR(IF(OR(AND(INDEX(Règles_bison[Specificite],MATCH(ChoixRationBisons&amp;$BM103,Règles_bison[Ration]&amp;Règles_bison[Aliment],0))="s1",IF($BM103=ChoixSpécificité1Bisons,1)),
INDEX(Règles_bison[Specificite],MATCH(ChoixRationBisons&amp;$BM103,Règles_bison[Ration]&amp;Règles_bison[Aliment],0))="c"),
INDEX(Règles_bison[Valeur 0-3],MATCH(ChoixRationBisons&amp;$BM103,Règles_bison[Ration]&amp;Règles_bison[Aliment],0)),0),0)*TotalBisonsFemelles_0_3_mois*NbreJoursNourrirBisonsDaims)</f>
        <v>0</v>
      </c>
      <c r="BU103" s="332">
        <f t="shared" si="6"/>
        <v>0</v>
      </c>
      <c r="BV103" s="282"/>
      <c r="BW103" s="282"/>
    </row>
    <row r="104" spans="1:86" ht="12.75" customHeight="1" x14ac:dyDescent="0.2">
      <c r="A104" s="355" t="s">
        <v>80</v>
      </c>
      <c r="B104" s="362">
        <f t="shared" si="8"/>
        <v>1E-3</v>
      </c>
      <c r="F104" s="280" t="s">
        <v>42</v>
      </c>
      <c r="G104" s="280" t="s">
        <v>645</v>
      </c>
      <c r="H104" s="312" t="s">
        <v>670</v>
      </c>
      <c r="I104" s="280" t="s">
        <v>646</v>
      </c>
      <c r="J104" s="280" t="s">
        <v>647</v>
      </c>
      <c r="K104" s="312" t="s">
        <v>677</v>
      </c>
      <c r="L104" s="280">
        <v>0</v>
      </c>
      <c r="O104" s="367" t="s">
        <v>786</v>
      </c>
      <c r="P104" s="367" t="e">
        <f>IF(ChoixExpèceAuPré="",0,SUMIF(ChoixEspèceAuPré,Bovins,NbreFemelles_3_AnsEtPlusAuPréEté))</f>
        <v>#REF!</v>
      </c>
      <c r="Q104" s="367" t="e">
        <f>IF(ChoixExpèceAuPré="",0,SUMIF(ChoixEspèceAuPré,Ovins,NbreFemelles_3_AnsEtPlusAuPréEté))</f>
        <v>#REF!</v>
      </c>
      <c r="R104" s="367" t="e">
        <f>IF(ChoixExpèceAuPré="",0,SUMIF(ChoixEspèceAuPré,Caprins,NbreFemelles_3_AnsEtPlusAuPréEté))</f>
        <v>#REF!</v>
      </c>
      <c r="S104" s="367" t="e">
        <f>IF(ChoixExpèceAuPré="",0,SUMIF(ChoixEspèceAuPré,Bisons,NbreFemelles_3_AnsEtPlusAuPréEté))</f>
        <v>#REF!</v>
      </c>
      <c r="T104" s="367" t="e">
        <f>IF(ChoixExpèceAuPré="",0,SUMIF(ChoixEspèceAuPré,Daims,NbreFemelles_3_AnsEtPlusAuPréEté))</f>
        <v>#REF!</v>
      </c>
      <c r="U104" s="367" t="e">
        <f>IF(ChoixExpèceAuPré="",0,SUMIF(ChoixEspèceAuPré,ChevauxSelle,NbreFemelles_3_AnsEtPlusAuPréEté))</f>
        <v>#REF!</v>
      </c>
      <c r="V104" s="367" t="e">
        <f>IF(ChoixExpèceAuPré="",0,SUMIF(ChoixEspèceAuPré,ChevauxTrait,NbreFemelles_3_AnsEtPlusAuPréEté))</f>
        <v>#REF!</v>
      </c>
      <c r="W104" s="367" t="e">
        <f>IF(ChoixExpèceAuPré="",0,SUMIF(ChoixEspèceAuPré,Poneys,NbreFemelles_3_AnsEtPlusAuPréEté))</f>
        <v>#REF!</v>
      </c>
      <c r="BB104" s="369" t="s">
        <v>440</v>
      </c>
      <c r="BC104" s="344" t="s">
        <v>42</v>
      </c>
      <c r="BD104" s="344" t="s">
        <v>713</v>
      </c>
      <c r="BE104" s="370">
        <v>4.8</v>
      </c>
      <c r="BF104" s="370">
        <v>4</v>
      </c>
      <c r="BG104" s="370">
        <v>4</v>
      </c>
      <c r="BH104" s="370">
        <v>4</v>
      </c>
      <c r="BI104" s="370">
        <v>2</v>
      </c>
      <c r="BJ104" s="370">
        <v>1.2</v>
      </c>
      <c r="BK104" s="371">
        <v>0</v>
      </c>
      <c r="BL104" s="305"/>
      <c r="BM104" s="332" t="str">
        <f t="shared" si="7"/>
        <v>Tourteau de tournesol</v>
      </c>
      <c r="BN104" s="332">
        <f t="array" ref="BN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36 et plus],MATCH(ChoixRationBisons&amp;$BM104,Règles_bison[Ration]&amp;Règles_bison[Aliment],0)),0),0)*TotalBisonnes*NbreJoursNourrirBisonsDaims)</f>
        <v>0</v>
      </c>
      <c r="BO104" s="332">
        <f t="array" ref="BO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24-36],MATCH(ChoixRationBisons&amp;$BM104,Règles_bison[Ration]&amp;Règles_bison[Aliment],0)),0),0)*TotalBisonsFemelles_24_36_mois*NbreJoursNourrirBisonsDaims)</f>
        <v>0</v>
      </c>
      <c r="BP104" s="332">
        <f t="array" ref="BP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18-24],MATCH(ChoixRationBisons&amp;$BM104,Règles_bison[Ration]&amp;Règles_bison[Aliment],0)),0),0)*TotalBisonsFemelles_18_24_mois*NbreJoursNourrirBisonsDaims)</f>
        <v>0</v>
      </c>
      <c r="BQ104" s="332">
        <f t="array" ref="BQ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12-18],MATCH(ChoixRationBisons&amp;$BM104,Règles_bison[Ration]&amp;Règles_bison[Aliment],0)),0),0)*TotalBisonsFemelles_12_18_mois*NbreJoursNourrirBisonsDaims)</f>
        <v>0</v>
      </c>
      <c r="BR104" s="332">
        <f t="array" ref="BR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6-12],MATCH(ChoixRationBisons&amp;$BM104,Règles_bison[Ration]&amp;Règles_bison[Aliment],0)),0),0)*TotalBisonsFemelles_6_12_mois*NbreJoursNourrirBisonsDaims)</f>
        <v>0</v>
      </c>
      <c r="BS104" s="332">
        <f t="array" ref="BS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3-6],MATCH(ChoixRationBisons&amp;$BM104,Règles_bison[Ration]&amp;Règles_bison[Aliment],0)),0),0)*TotalBisonsFemelles_3_6_mois*NbreJoursNourrirBisonsDaims)</f>
        <v>0</v>
      </c>
      <c r="BT104" s="332">
        <f t="array" ref="BT104">IF(Ration_hivernale_complète_bisons[somme]&gt;0,0,IFERROR(IF(OR(AND(INDEX(Règles_bison[Specificite],MATCH(ChoixRationBisons&amp;$BM104,Règles_bison[Ration]&amp;Règles_bison[Aliment],0))="s1",IF($BM104=ChoixSpécificité1Bisons,1)),
INDEX(Règles_bison[Specificite],MATCH(ChoixRationBisons&amp;$BM104,Règles_bison[Ration]&amp;Règles_bison[Aliment],0))="c"),
INDEX(Règles_bison[Valeur 0-3],MATCH(ChoixRationBisons&amp;$BM104,Règles_bison[Ration]&amp;Règles_bison[Aliment],0)),0),0)*TotalBisonsFemelles_0_3_mois*NbreJoursNourrirBisonsDaims)</f>
        <v>0</v>
      </c>
      <c r="BU104" s="338">
        <f t="shared" si="6"/>
        <v>0</v>
      </c>
      <c r="BV104" s="282"/>
      <c r="BW104" s="282"/>
      <c r="BX104" s="324" t="s">
        <v>876</v>
      </c>
      <c r="BY104" s="229" t="str">
        <f>IF(animaux!D51="","",animaux!D51)</f>
        <v/>
      </c>
      <c r="BZ104" s="229" t="str">
        <f>IF(animaux!D49="","",animaux!D49)</f>
        <v/>
      </c>
      <c r="CA104" s="229" t="str">
        <f>IF(animaux!D47="","",animaux!D47)</f>
        <v/>
      </c>
      <c r="CB104" s="323" t="str">
        <f>IF(animaux!D45="","",animaux!D45)</f>
        <v/>
      </c>
      <c r="CC104" s="323"/>
    </row>
    <row r="105" spans="1:86" ht="12.75" customHeight="1" x14ac:dyDescent="0.2">
      <c r="A105" s="355" t="s">
        <v>81</v>
      </c>
      <c r="B105" s="362">
        <f t="shared" si="8"/>
        <v>1E-3</v>
      </c>
      <c r="F105" s="280" t="s">
        <v>43</v>
      </c>
      <c r="G105" s="311" t="s">
        <v>659</v>
      </c>
      <c r="H105" s="311" t="s">
        <v>672</v>
      </c>
      <c r="I105" s="311" t="s">
        <v>672</v>
      </c>
      <c r="J105" s="311" t="s">
        <v>672</v>
      </c>
      <c r="K105" s="311" t="s">
        <v>629</v>
      </c>
      <c r="L105" s="311" t="s">
        <v>629</v>
      </c>
      <c r="BB105" s="369" t="s">
        <v>440</v>
      </c>
      <c r="BC105" s="344" t="s">
        <v>730</v>
      </c>
      <c r="BD105" s="344" t="s">
        <v>711</v>
      </c>
      <c r="BE105" s="370">
        <v>1</v>
      </c>
      <c r="BF105" s="370">
        <v>0.8</v>
      </c>
      <c r="BG105" s="370">
        <v>0.6</v>
      </c>
      <c r="BH105" s="370">
        <v>0.4</v>
      </c>
      <c r="BI105" s="370">
        <v>0.4</v>
      </c>
      <c r="BJ105" s="370">
        <v>0.4</v>
      </c>
      <c r="BK105" s="371">
        <v>0</v>
      </c>
      <c r="BL105" s="305"/>
      <c r="BM105" s="332" t="str">
        <f t="shared" si="7"/>
        <v>Triticale</v>
      </c>
      <c r="BN105" s="332">
        <f t="array" ref="BN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36 et plus],MATCH(ChoixRationBisons&amp;$BM105,Règles_bison[Ration]&amp;Règles_bison[Aliment],0)),0),0)*TotalBisonnes*NbreJoursNourrirBisonsDaims)</f>
        <v>0</v>
      </c>
      <c r="BO105" s="332">
        <f t="array" ref="BO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24-36],MATCH(ChoixRationBisons&amp;$BM105,Règles_bison[Ration]&amp;Règles_bison[Aliment],0)),0),0)*TotalBisonsFemelles_24_36_mois*NbreJoursNourrirBisonsDaims)</f>
        <v>0</v>
      </c>
      <c r="BP105" s="332">
        <f t="array" ref="BP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18-24],MATCH(ChoixRationBisons&amp;$BM105,Règles_bison[Ration]&amp;Règles_bison[Aliment],0)),0),0)*TotalBisonsFemelles_18_24_mois*NbreJoursNourrirBisonsDaims)</f>
        <v>0</v>
      </c>
      <c r="BQ105" s="332">
        <f t="array" ref="BQ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12-18],MATCH(ChoixRationBisons&amp;$BM105,Règles_bison[Ration]&amp;Règles_bison[Aliment],0)),0),0)*TotalBisonsFemelles_12_18_mois*NbreJoursNourrirBisonsDaims)</f>
        <v>0</v>
      </c>
      <c r="BR105" s="332">
        <f t="array" ref="BR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6-12],MATCH(ChoixRationBisons&amp;$BM105,Règles_bison[Ration]&amp;Règles_bison[Aliment],0)),0),0)*TotalBisonsFemelles_6_12_mois*NbreJoursNourrirBisonsDaims)</f>
        <v>0</v>
      </c>
      <c r="BS105" s="332">
        <f t="array" ref="BS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3-6],MATCH(ChoixRationBisons&amp;$BM105,Règles_bison[Ration]&amp;Règles_bison[Aliment],0)),0),0)*TotalBisonsFemelles_3_6_mois*NbreJoursNourrirBisonsDaims)</f>
        <v>0</v>
      </c>
      <c r="BT105" s="332">
        <f t="array" ref="BT105">IF(Ration_hivernale_complète_bisons[somme]&gt;0,0,IFERROR(IF(OR(AND(INDEX(Règles_bison[Specificite],MATCH(ChoixRationBisons&amp;$BM105,Règles_bison[Ration]&amp;Règles_bison[Aliment],0))="s1",IF($BM105=ChoixSpécificité1Bisons,1)),
INDEX(Règles_bison[Specificite],MATCH(ChoixRationBisons&amp;$BM105,Règles_bison[Ration]&amp;Règles_bison[Aliment],0))="c"),
INDEX(Règles_bison[Valeur 0-3],MATCH(ChoixRationBisons&amp;$BM105,Règles_bison[Ration]&amp;Règles_bison[Aliment],0)),0),0)*TotalBisonsFemelles_0_3_mois*NbreJoursNourrirBisonsDaims)</f>
        <v>0</v>
      </c>
      <c r="BU105" s="338">
        <f t="shared" si="6"/>
        <v>0</v>
      </c>
      <c r="BV105" s="282"/>
      <c r="BW105" s="282"/>
      <c r="BX105" s="336" t="s">
        <v>734</v>
      </c>
      <c r="BY105" s="331" t="s">
        <v>738</v>
      </c>
      <c r="BZ105" s="331" t="s">
        <v>716</v>
      </c>
      <c r="CA105" s="331" t="s">
        <v>715</v>
      </c>
      <c r="CB105" s="331" t="s">
        <v>714</v>
      </c>
      <c r="CC105" s="331" t="s">
        <v>728</v>
      </c>
      <c r="CH105" s="277"/>
    </row>
    <row r="106" spans="1:86" ht="12.75" customHeight="1" x14ac:dyDescent="0.2">
      <c r="A106" s="355" t="s">
        <v>82</v>
      </c>
      <c r="B106" s="362">
        <f t="shared" si="8"/>
        <v>1E-3</v>
      </c>
      <c r="F106" s="280" t="s">
        <v>44</v>
      </c>
      <c r="G106" s="311" t="s">
        <v>660</v>
      </c>
      <c r="H106" s="311" t="s">
        <v>629</v>
      </c>
      <c r="I106" s="311" t="s">
        <v>661</v>
      </c>
      <c r="J106" s="311" t="s">
        <v>629</v>
      </c>
      <c r="K106" s="280" t="s">
        <v>664</v>
      </c>
      <c r="L106" s="280" t="s">
        <v>664</v>
      </c>
      <c r="BB106" s="369" t="s">
        <v>440</v>
      </c>
      <c r="BC106" s="344" t="s">
        <v>882</v>
      </c>
      <c r="BD106" s="344" t="s">
        <v>711</v>
      </c>
      <c r="BE106" s="370">
        <v>0</v>
      </c>
      <c r="BF106" s="370">
        <v>0</v>
      </c>
      <c r="BG106" s="370">
        <v>0</v>
      </c>
      <c r="BH106" s="370">
        <v>0</v>
      </c>
      <c r="BI106" s="370">
        <v>0</v>
      </c>
      <c r="BJ106" s="370">
        <v>0</v>
      </c>
      <c r="BK106" s="371">
        <v>8</v>
      </c>
      <c r="BL106" s="305"/>
      <c r="BM106" s="332">
        <f t="shared" si="7"/>
        <v>0</v>
      </c>
      <c r="BN106" s="332">
        <f t="array" ref="BN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36 et plus],MATCH(ChoixRationBisons&amp;$BM106,Règles_bison[Ration]&amp;Règles_bison[Aliment],0)),0),0)*TotalBisonnes*NbreJoursNourrirBisonsDaims)</f>
        <v>0</v>
      </c>
      <c r="BO106" s="332">
        <f t="array" ref="BO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24-36],MATCH(ChoixRationBisons&amp;$BM106,Règles_bison[Ration]&amp;Règles_bison[Aliment],0)),0),0)*TotalBisonsFemelles_24_36_mois*NbreJoursNourrirBisonsDaims)</f>
        <v>0</v>
      </c>
      <c r="BP106" s="332">
        <f t="array" ref="BP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18-24],MATCH(ChoixRationBisons&amp;$BM106,Règles_bison[Ration]&amp;Règles_bison[Aliment],0)),0),0)*TotalBisonsFemelles_18_24_mois*NbreJoursNourrirBisonsDaims)</f>
        <v>0</v>
      </c>
      <c r="BQ106" s="332">
        <f t="array" ref="BQ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12-18],MATCH(ChoixRationBisons&amp;$BM106,Règles_bison[Ration]&amp;Règles_bison[Aliment],0)),0),0)*TotalBisonsFemelles_12_18_mois*NbreJoursNourrirBisonsDaims)</f>
        <v>0</v>
      </c>
      <c r="BR106" s="332">
        <f t="array" ref="BR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6-12],MATCH(ChoixRationBisons&amp;$BM106,Règles_bison[Ration]&amp;Règles_bison[Aliment],0)),0),0)*TotalBisonsFemelles_6_12_mois*NbreJoursNourrirBisonsDaims)</f>
        <v>0</v>
      </c>
      <c r="BS106" s="332">
        <f t="array" ref="BS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3-6],MATCH(ChoixRationBisons&amp;$BM106,Règles_bison[Ration]&amp;Règles_bison[Aliment],0)),0),0)*TotalBisonsFemelles_3_6_mois*NbreJoursNourrirBisonsDaims)</f>
        <v>0</v>
      </c>
      <c r="BT106" s="332">
        <f t="array" ref="BT106">IF(Ration_hivernale_complète_bisons[somme]&gt;0,0,IFERROR(IF(OR(AND(INDEX(Règles_bison[Specificite],MATCH(ChoixRationBisons&amp;$BM106,Règles_bison[Ration]&amp;Règles_bison[Aliment],0))="s1",IF($BM106=ChoixSpécificité1Bisons,1)),
INDEX(Règles_bison[Specificite],MATCH(ChoixRationBisons&amp;$BM106,Règles_bison[Ration]&amp;Règles_bison[Aliment],0))="c"),
INDEX(Règles_bison[Valeur 0-3],MATCH(ChoixRationBisons&amp;$BM106,Règles_bison[Ration]&amp;Règles_bison[Aliment],0)),0),0)*TotalBisonsFemelles_0_3_mois*NbreJoursNourrirBisonsDaims)</f>
        <v>0</v>
      </c>
      <c r="BU106" s="338">
        <f t="shared" si="6"/>
        <v>0</v>
      </c>
      <c r="BV106" s="282"/>
      <c r="BW106" s="282"/>
      <c r="BX106" s="332" t="s">
        <v>384</v>
      </c>
      <c r="BY106" s="332">
        <f t="array" ref="BY106">IF(ChoixRationComplèteCaprins=OUI,0,IFERROR(IF(OR(AND(INDEX(Règles_caprins[Specificite],MATCH(ChoixRationCaprins&amp;$BX106,Règles_caprins[Ration]&amp;Règles_caprins[Aliment],0))="s1",IF($BX106=Spécificité1Caprins,1)),
INDEX(Règles_caprins[Specificite],MATCH(ChoixRationCaprins&amp;$BX106,Règles_caprins[Ration]&amp;Règles_caprins[Aliment],0))="c"),
INDEX(Règles_caprins[Valeur 12 et plus],MATCH(ChoixRationCaprins&amp;$BX106,Règles_caprins[Ration]&amp;Règles_caprins[Aliment],0)),0),0)*TotalBoucs*NbreJoursNourrirCaprins)</f>
        <v>0</v>
      </c>
      <c r="BZ106" s="332">
        <f t="array" ref="BZ106">IF(ChoixRationComplèteCaprins=OUI,0,IFERROR(IF(OR(AND(INDEX(Règles_caprins[Specificite],MATCH(ChoixRationCaprins&amp;$BX106,Règles_caprins[Ration]&amp;Règles_caprins[Aliment],0))="s1",IF($BX106=Spécificité1Caprins,1)),
INDEX(Règles_caprins[Specificite],MATCH(ChoixRationCaprins&amp;$BX106,Règles_caprins[Ration]&amp;Règles_caprins[Aliment],0))="c"),
INDEX(Règles_caprins[Valeur 6-12],MATCH(ChoixRationCaprins&amp;$BX106,Règles_caprins[Ration]&amp;Règles_caprins[Aliment],0)),0),0)*jeune_bouc_6_12_mois*NbreJoursNourrirCaprins)</f>
        <v>0</v>
      </c>
      <c r="CA106" s="332">
        <f t="array" ref="CA106">IF(ChoixRationComplèteCaprins=OUI,0,IFERROR(IF(OR(AND(INDEX(Règles_caprins[Specificite],MATCH(ChoixRationCaprins&amp;$BX106,Règles_caprins[Ration]&amp;Règles_caprins[Aliment],0))="s1",IF($BX106=Spécificité1Caprins,1)),
INDEX(Règles_caprins[Specificite],MATCH(ChoixRationCaprins&amp;$BX106,Règles_caprins[Ration]&amp;Règles_caprins[Aliment],0))="c"),
INDEX(Règles_caprins[Valeur 3-6],MATCH(ChoixRationCaprins&amp;$BX106,Règles_caprins[Ration]&amp;Règles_caprins[Aliment],0)),0),0)*chevreau_3_6_mois*NbreJoursNourrirCaprins)</f>
        <v>0</v>
      </c>
      <c r="CB106" s="332">
        <f t="array" ref="CB106">IF(ChoixRationComplèteCaprins=OUI,0,IFERROR(IF(OR(AND(INDEX(Règles_caprins[Specificite],MATCH(ChoixRationCaprins&amp;$BX106,Règles_caprins[Ration]&amp;Règles_caprins[Aliment],0))="s1",IF($BX106=Spécificité1Caprins,1)),
INDEX(Règles_caprins[Specificite],MATCH(ChoixRationCaprins&amp;$BX106,Règles_caprins[Ration]&amp;Règles_caprins[Aliment],0))="c"),
INDEX(Règles_caprins[Valeur 0-3],MATCH(ChoixRationCaprins&amp;$BX106,Règles_caprins[Ration]&amp;Règles_caprins[Aliment],0)),0),0)*chevreau_0_3_mois*NbreJoursNourrirCaprins)</f>
        <v>0</v>
      </c>
      <c r="CC106" s="332">
        <f t="shared" ref="CC106:CC140" si="9">SUM($BY106:$CB106)</f>
        <v>0</v>
      </c>
      <c r="CH106" s="276"/>
    </row>
    <row r="107" spans="1:86" ht="12.75" customHeight="1" x14ac:dyDescent="0.2">
      <c r="A107" s="355" t="s">
        <v>83</v>
      </c>
      <c r="B107" s="362">
        <f t="shared" si="8"/>
        <v>1E-3</v>
      </c>
      <c r="F107" s="280" t="s">
        <v>171</v>
      </c>
      <c r="G107" s="280" t="s">
        <v>648</v>
      </c>
      <c r="H107" s="280" t="s">
        <v>664</v>
      </c>
      <c r="I107" s="311" t="s">
        <v>629</v>
      </c>
      <c r="J107" s="311" t="s">
        <v>674</v>
      </c>
      <c r="K107" s="311" t="s">
        <v>672</v>
      </c>
      <c r="L107" s="311" t="s">
        <v>678</v>
      </c>
      <c r="BB107" s="369" t="s">
        <v>440</v>
      </c>
      <c r="BC107" s="344" t="s">
        <v>444</v>
      </c>
      <c r="BD107" s="344" t="s">
        <v>711</v>
      </c>
      <c r="BE107" s="370">
        <v>200</v>
      </c>
      <c r="BF107" s="370">
        <v>100</v>
      </c>
      <c r="BG107" s="370">
        <v>80</v>
      </c>
      <c r="BH107" s="370">
        <v>60</v>
      </c>
      <c r="BI107" s="370">
        <v>40</v>
      </c>
      <c r="BJ107" s="370">
        <v>28</v>
      </c>
      <c r="BK107" s="371">
        <v>12</v>
      </c>
      <c r="BL107" s="305"/>
      <c r="BM107" s="306"/>
      <c r="BQ107" s="277"/>
      <c r="BU107" s="308"/>
      <c r="BV107" s="282"/>
      <c r="BX107" s="332" t="s">
        <v>297</v>
      </c>
      <c r="BY107" s="332">
        <f t="array" ref="BY107">IF(ChoixRationComplèteCaprins=OUI,0,IFERROR(IF(OR(AND(INDEX(Règles_caprins[Specificite],MATCH(ChoixRationCaprins&amp;$BX107,Règles_caprins[Ration]&amp;Règles_caprins[Aliment],0))="s1",IF($BX107=Spécificité1Caprins,1)),
INDEX(Règles_caprins[Specificite],MATCH(ChoixRationCaprins&amp;$BX107,Règles_caprins[Ration]&amp;Règles_caprins[Aliment],0))="c"),
INDEX(Règles_caprins[Valeur 12 et plus],MATCH(ChoixRationCaprins&amp;$BX107,Règles_caprins[Ration]&amp;Règles_caprins[Aliment],0)),0),0)*TotalBoucs*NbreJoursNourrirCaprins)</f>
        <v>0</v>
      </c>
      <c r="BZ107" s="332">
        <f t="array" ref="BZ107">IF(ChoixRationComplèteCaprins=OUI,0,IFERROR(IF(OR(AND(INDEX(Règles_caprins[Specificite],MATCH(ChoixRationCaprins&amp;$BX107,Règles_caprins[Ration]&amp;Règles_caprins[Aliment],0))="s1",IF($BX107=Spécificité1Caprins,1)),
INDEX(Règles_caprins[Specificite],MATCH(ChoixRationCaprins&amp;$BX107,Règles_caprins[Ration]&amp;Règles_caprins[Aliment],0))="c"),
INDEX(Règles_caprins[Valeur 6-12],MATCH(ChoixRationCaprins&amp;$BX107,Règles_caprins[Ration]&amp;Règles_caprins[Aliment],0)),0),0)*jeune_bouc_6_12_mois*NbreJoursNourrirCaprins)</f>
        <v>0</v>
      </c>
      <c r="CA107" s="332">
        <f t="array" ref="CA107">IF(ChoixRationComplèteCaprins=OUI,0,IFERROR(IF(OR(AND(INDEX(Règles_caprins[Specificite],MATCH(ChoixRationCaprins&amp;$BX107,Règles_caprins[Ration]&amp;Règles_caprins[Aliment],0))="s1",IF($BX107=Spécificité1Caprins,1)),
INDEX(Règles_caprins[Specificite],MATCH(ChoixRationCaprins&amp;$BX107,Règles_caprins[Ration]&amp;Règles_caprins[Aliment],0))="c"),
INDEX(Règles_caprins[Valeur 3-6],MATCH(ChoixRationCaprins&amp;$BX107,Règles_caprins[Ration]&amp;Règles_caprins[Aliment],0)),0),0)*chevreau_3_6_mois*NbreJoursNourrirCaprins)</f>
        <v>0</v>
      </c>
      <c r="CB107" s="332">
        <f t="array" ref="CB107">IF(ChoixRationComplèteCaprins=OUI,0,IFERROR(IF(OR(AND(INDEX(Règles_caprins[Specificite],MATCH(ChoixRationCaprins&amp;$BX107,Règles_caprins[Ration]&amp;Règles_caprins[Aliment],0))="s1",IF($BX107=Spécificité1Caprins,1)),
INDEX(Règles_caprins[Specificite],MATCH(ChoixRationCaprins&amp;$BX107,Règles_caprins[Ration]&amp;Règles_caprins[Aliment],0))="c"),
INDEX(Règles_caprins[Valeur 0-3],MATCH(ChoixRationCaprins&amp;$BX107,Règles_caprins[Ration]&amp;Règles_caprins[Aliment],0)),0),0)*chevreau_0_3_mois*NbreJoursNourrirCaprins)</f>
        <v>0</v>
      </c>
      <c r="CC107" s="332">
        <f t="shared" si="9"/>
        <v>0</v>
      </c>
      <c r="CH107" s="276"/>
    </row>
    <row r="108" spans="1:86" ht="12.75" customHeight="1" x14ac:dyDescent="0.2">
      <c r="A108" s="355" t="s">
        <v>163</v>
      </c>
      <c r="B108" s="362">
        <f t="shared" si="8"/>
        <v>1E-3</v>
      </c>
      <c r="F108" s="280" t="s">
        <v>286</v>
      </c>
      <c r="G108" s="280" t="s">
        <v>649</v>
      </c>
      <c r="H108" s="280" t="s">
        <v>650</v>
      </c>
      <c r="I108" s="280" t="s">
        <v>650</v>
      </c>
      <c r="J108" s="311" t="s">
        <v>675</v>
      </c>
      <c r="K108" s="311" t="s">
        <v>675</v>
      </c>
      <c r="L108" s="311" t="s">
        <v>675</v>
      </c>
      <c r="BB108" s="369" t="s">
        <v>741</v>
      </c>
      <c r="BC108" s="344" t="s">
        <v>434</v>
      </c>
      <c r="BD108" s="344" t="s">
        <v>735</v>
      </c>
      <c r="BE108" s="370">
        <v>83</v>
      </c>
      <c r="BF108" s="370">
        <v>71</v>
      </c>
      <c r="BG108" s="370">
        <v>64</v>
      </c>
      <c r="BH108" s="370">
        <v>55</v>
      </c>
      <c r="BI108" s="370">
        <v>45</v>
      </c>
      <c r="BJ108" s="370">
        <v>37</v>
      </c>
      <c r="BK108" s="371">
        <v>0</v>
      </c>
      <c r="BL108" s="305"/>
      <c r="BM108" s="324" t="s">
        <v>737</v>
      </c>
      <c r="BN108" s="229"/>
      <c r="BO108" s="229"/>
      <c r="BP108" s="229"/>
      <c r="BQ108" s="325"/>
      <c r="BR108" s="229"/>
      <c r="BS108" s="229"/>
      <c r="BT108" s="229"/>
      <c r="BU108" s="327"/>
      <c r="BX108" s="332" t="s">
        <v>160</v>
      </c>
      <c r="BY108" s="332">
        <f t="array" ref="BY108">IF(ChoixRationComplèteCaprins=OUI,0,IFERROR(IF(OR(AND(INDEX(Règles_caprins[Specificite],MATCH(ChoixRationCaprins&amp;$BX108,Règles_caprins[Ration]&amp;Règles_caprins[Aliment],0))="s1",IF($BX108=Spécificité1Caprins,1)),
INDEX(Règles_caprins[Specificite],MATCH(ChoixRationCaprins&amp;$BX108,Règles_caprins[Ration]&amp;Règles_caprins[Aliment],0))="c"),
INDEX(Règles_caprins[Valeur 12 et plus],MATCH(ChoixRationCaprins&amp;$BX108,Règles_caprins[Ration]&amp;Règles_caprins[Aliment],0)),0),0)*TotalBoucs*NbreJoursNourrirCaprins)</f>
        <v>0</v>
      </c>
      <c r="BZ108" s="332">
        <f t="array" ref="BZ108">IF(ChoixRationComplèteCaprins=OUI,0,IFERROR(IF(OR(AND(INDEX(Règles_caprins[Specificite],MATCH(ChoixRationCaprins&amp;$BX108,Règles_caprins[Ration]&amp;Règles_caprins[Aliment],0))="s1",IF($BX108=Spécificité1Caprins,1)),
INDEX(Règles_caprins[Specificite],MATCH(ChoixRationCaprins&amp;$BX108,Règles_caprins[Ration]&amp;Règles_caprins[Aliment],0))="c"),
INDEX(Règles_caprins[Valeur 6-12],MATCH(ChoixRationCaprins&amp;$BX108,Règles_caprins[Ration]&amp;Règles_caprins[Aliment],0)),0),0)*jeune_bouc_6_12_mois*NbreJoursNourrirCaprins)</f>
        <v>0</v>
      </c>
      <c r="CA108" s="332">
        <f t="array" ref="CA108">IF(ChoixRationComplèteCaprins=OUI,0,IFERROR(IF(OR(AND(INDEX(Règles_caprins[Specificite],MATCH(ChoixRationCaprins&amp;$BX108,Règles_caprins[Ration]&amp;Règles_caprins[Aliment],0))="s1",IF($BX108=Spécificité1Caprins,1)),
INDEX(Règles_caprins[Specificite],MATCH(ChoixRationCaprins&amp;$BX108,Règles_caprins[Ration]&amp;Règles_caprins[Aliment],0))="c"),
INDEX(Règles_caprins[Valeur 3-6],MATCH(ChoixRationCaprins&amp;$BX108,Règles_caprins[Ration]&amp;Règles_caprins[Aliment],0)),0),0)*chevreau_3_6_mois*NbreJoursNourrirCaprins)</f>
        <v>0</v>
      </c>
      <c r="CB108" s="332">
        <f t="array" ref="CB108">IF(ChoixRationComplèteCaprins=OUI,0,IFERROR(IF(OR(AND(INDEX(Règles_caprins[Specificite],MATCH(ChoixRationCaprins&amp;$BX108,Règles_caprins[Ration]&amp;Règles_caprins[Aliment],0))="s1",IF($BX108=Spécificité1Caprins,1)),
INDEX(Règles_caprins[Specificite],MATCH(ChoixRationCaprins&amp;$BX108,Règles_caprins[Ration]&amp;Règles_caprins[Aliment],0))="c"),
INDEX(Règles_caprins[Valeur 0-3],MATCH(ChoixRationCaprins&amp;$BX108,Règles_caprins[Ration]&amp;Règles_caprins[Aliment],0)),0),0)*chevreau_0_3_mois*NbreJoursNourrirCaprins)</f>
        <v>0</v>
      </c>
      <c r="CC108" s="332">
        <f t="shared" si="9"/>
        <v>0</v>
      </c>
      <c r="CH108" s="276"/>
    </row>
    <row r="109" spans="1:86" ht="12.75" customHeight="1" x14ac:dyDescent="0.2">
      <c r="A109" s="355" t="s">
        <v>164</v>
      </c>
      <c r="B109" s="362">
        <f t="shared" si="8"/>
        <v>1E-3</v>
      </c>
      <c r="F109" s="280" t="s">
        <v>30</v>
      </c>
      <c r="G109" s="280" t="s">
        <v>651</v>
      </c>
      <c r="H109" s="280" t="s">
        <v>652</v>
      </c>
      <c r="I109" s="280" t="s">
        <v>652</v>
      </c>
      <c r="J109" s="312" t="s">
        <v>676</v>
      </c>
      <c r="K109" s="312" t="s">
        <v>670</v>
      </c>
      <c r="L109" s="312" t="s">
        <v>658</v>
      </c>
      <c r="BB109" s="369" t="s">
        <v>741</v>
      </c>
      <c r="BC109" s="344" t="s">
        <v>190</v>
      </c>
      <c r="BD109" s="344" t="s">
        <v>711</v>
      </c>
      <c r="BE109" s="370">
        <v>60</v>
      </c>
      <c r="BF109" s="370">
        <v>54</v>
      </c>
      <c r="BG109" s="370">
        <v>48</v>
      </c>
      <c r="BH109" s="370">
        <v>42</v>
      </c>
      <c r="BI109" s="370">
        <v>36</v>
      </c>
      <c r="BJ109" s="370">
        <v>30</v>
      </c>
      <c r="BK109" s="371">
        <v>0</v>
      </c>
      <c r="BL109" s="305"/>
      <c r="BM109" s="376" t="s">
        <v>734</v>
      </c>
      <c r="BN109" s="377" t="s">
        <v>727</v>
      </c>
      <c r="BO109" s="377" t="s">
        <v>726</v>
      </c>
      <c r="BP109" s="377" t="s">
        <v>725</v>
      </c>
      <c r="BQ109" s="377" t="s">
        <v>724</v>
      </c>
      <c r="BR109" s="377" t="s">
        <v>723</v>
      </c>
      <c r="BS109" s="377" t="s">
        <v>722</v>
      </c>
      <c r="BT109" s="377" t="s">
        <v>721</v>
      </c>
      <c r="BU109" s="378" t="s">
        <v>728</v>
      </c>
      <c r="BX109" s="332" t="s">
        <v>441</v>
      </c>
      <c r="BY109" s="332">
        <f t="array" ref="BY109">IF(ChoixRationComplèteCaprins=OUI,0,IFERROR(IF(OR(AND(INDEX(Règles_caprins[Specificite],MATCH(ChoixRationCaprins&amp;$BX109,Règles_caprins[Ration]&amp;Règles_caprins[Aliment],0))="s1",IF($BX109=Spécificité1Caprins,1)),
INDEX(Règles_caprins[Specificite],MATCH(ChoixRationCaprins&amp;$BX109,Règles_caprins[Ration]&amp;Règles_caprins[Aliment],0))="c"),
INDEX(Règles_caprins[Valeur 12 et plus],MATCH(ChoixRationCaprins&amp;$BX109,Règles_caprins[Ration]&amp;Règles_caprins[Aliment],0)),0),0)*TotalBoucs*NbreJoursNourrirCaprins)</f>
        <v>0</v>
      </c>
      <c r="BZ109" s="332">
        <f t="array" ref="BZ109">IF(ChoixRationComplèteCaprins=OUI,0,IFERROR(IF(OR(AND(INDEX(Règles_caprins[Specificite],MATCH(ChoixRationCaprins&amp;$BX109,Règles_caprins[Ration]&amp;Règles_caprins[Aliment],0))="s1",IF($BX109=Spécificité1Caprins,1)),
INDEX(Règles_caprins[Specificite],MATCH(ChoixRationCaprins&amp;$BX109,Règles_caprins[Ration]&amp;Règles_caprins[Aliment],0))="c"),
INDEX(Règles_caprins[Valeur 6-12],MATCH(ChoixRationCaprins&amp;$BX109,Règles_caprins[Ration]&amp;Règles_caprins[Aliment],0)),0),0)*jeune_bouc_6_12_mois*NbreJoursNourrirCaprins)</f>
        <v>0</v>
      </c>
      <c r="CA109" s="332">
        <f t="array" ref="CA109">IF(ChoixRationComplèteCaprins=OUI,0,IFERROR(IF(OR(AND(INDEX(Règles_caprins[Specificite],MATCH(ChoixRationCaprins&amp;$BX109,Règles_caprins[Ration]&amp;Règles_caprins[Aliment],0))="s1",IF($BX109=Spécificité1Caprins,1)),
INDEX(Règles_caprins[Specificite],MATCH(ChoixRationCaprins&amp;$BX109,Règles_caprins[Ration]&amp;Règles_caprins[Aliment],0))="c"),
INDEX(Règles_caprins[Valeur 3-6],MATCH(ChoixRationCaprins&amp;$BX109,Règles_caprins[Ration]&amp;Règles_caprins[Aliment],0)),0),0)*chevreau_3_6_mois*NbreJoursNourrirCaprins)</f>
        <v>0</v>
      </c>
      <c r="CB109" s="332">
        <f t="array" ref="CB109">IF(ChoixRationComplèteCaprins=OUI,0,IFERROR(IF(OR(AND(INDEX(Règles_caprins[Specificite],MATCH(ChoixRationCaprins&amp;$BX109,Règles_caprins[Ration]&amp;Règles_caprins[Aliment],0))="s1",IF($BX109=Spécificité1Caprins,1)),
INDEX(Règles_caprins[Specificite],MATCH(ChoixRationCaprins&amp;$BX109,Règles_caprins[Ration]&amp;Règles_caprins[Aliment],0))="c"),
INDEX(Règles_caprins[Valeur 0-3],MATCH(ChoixRationCaprins&amp;$BX109,Règles_caprins[Ration]&amp;Règles_caprins[Aliment],0)),0),0)*chevreau_0_3_mois*NbreJoursNourrirCaprins)</f>
        <v>0</v>
      </c>
      <c r="CC109" s="332">
        <f t="shared" si="9"/>
        <v>0</v>
      </c>
      <c r="CH109" s="276"/>
    </row>
    <row r="110" spans="1:86" ht="12.75" customHeight="1" x14ac:dyDescent="0.2">
      <c r="A110" s="355" t="s">
        <v>14</v>
      </c>
      <c r="B110" s="362">
        <f t="shared" si="8"/>
        <v>1E-3</v>
      </c>
      <c r="F110" s="280" t="s">
        <v>186</v>
      </c>
      <c r="G110" s="311" t="s">
        <v>660</v>
      </c>
      <c r="H110" s="311" t="s">
        <v>629</v>
      </c>
      <c r="I110" s="311" t="s">
        <v>661</v>
      </c>
      <c r="J110" s="280" t="s">
        <v>664</v>
      </c>
      <c r="K110" s="280" t="s">
        <v>664</v>
      </c>
      <c r="L110" s="280" t="s">
        <v>664</v>
      </c>
      <c r="O110" s="366" t="s">
        <v>791</v>
      </c>
      <c r="BB110" s="369" t="s">
        <v>741</v>
      </c>
      <c r="BC110" s="344" t="s">
        <v>441</v>
      </c>
      <c r="BD110" s="344" t="s">
        <v>711</v>
      </c>
      <c r="BE110" s="370">
        <v>10</v>
      </c>
      <c r="BF110" s="370">
        <v>9</v>
      </c>
      <c r="BG110" s="370">
        <v>8</v>
      </c>
      <c r="BH110" s="370">
        <v>7</v>
      </c>
      <c r="BI110" s="370">
        <v>6</v>
      </c>
      <c r="BJ110" s="370">
        <v>5</v>
      </c>
      <c r="BK110" s="371">
        <v>0</v>
      </c>
      <c r="BL110" s="305"/>
      <c r="BM110" s="379" t="s">
        <v>434</v>
      </c>
      <c r="BN110" s="380">
        <f t="array" ref="BN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36 et plus],MATCH(ChoixRationBisons&amp;Ration_hivernale_complète_bisons[aliment],Règles_bison[Ration]&amp;Règles_bison[Aliment],0)),0),0)*SUM(TotalBisonsAdultes)*SUM(AB76:AB100),0)</f>
        <v>0</v>
      </c>
      <c r="BO110" s="380">
        <f t="array" ref="BO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24-36],MATCH(ChoixRationBisons&amp;Ration_hivernale_complète_bisons[aliment],Règles_bison[Ration]&amp;Règles_bison[Aliment],0)),0),0)*SUM(TotalBisons24_36)*SUM(AB76:AB100),0)</f>
        <v>0</v>
      </c>
      <c r="BP110" s="380">
        <f t="array" ref="BP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18-24],MATCH(ChoixRationBisons&amp;Ration_hivernale_complète_bisons[aliment],Règles_bison[Ration]&amp;Règles_bison[Aliment],0)),0),0)*SUM(TotalBisons18_24)*SUM(AB76:AB100),0)</f>
        <v>0</v>
      </c>
      <c r="BQ110" s="380">
        <f t="array" ref="BQ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12-18],MATCH(ChoixRationBisons&amp;Ration_hivernale_complète_bisons[aliment],Règles_bison[Ration]&amp;Règles_bison[Aliment],0)),0),0)*SUM(TotalBisons12_18)*SUM(AB76:AB100),0)</f>
        <v>0</v>
      </c>
      <c r="BR110" s="380">
        <f t="array" ref="BR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6-12],MATCH(ChoixRationBisons&amp;Ration_hivernale_complète_bisons[aliment],Règles_bison[Ration]&amp;Règles_bison[Aliment],0)),0),0)*SUM(TotalBisons6_12)*SUM(AB76:AB100),0)</f>
        <v>0</v>
      </c>
      <c r="BS110" s="380">
        <f t="array" ref="BS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3-6],MATCH(ChoixRationBisons&amp;Ration_hivernale_complète_bisons[aliment],Règles_bison[Ration]&amp;Règles_bison[Aliment],0)),0),0)*SUM(TotalBisons3_6)*SUM(AB76:AB100),0)</f>
        <v>0</v>
      </c>
      <c r="BT110" s="380">
        <f t="array" ref="BT110">IF(ChoixRationComplèteBisons=OUI,IFERROR(IF(OR(AND(INDEX(Règles_bison[Specificite],MATCH(ChoixRationBisons&amp;Ration_hivernale_complète_bisons[aliment],Règles_bison[Ration]&amp;Règles_bison[Aliment],0))="s1",IF(Ration_hivernale_complète_bisons[aliment]=ChoixSpécificité1Bisons,1)),
AND(INDEX(Règles_bison[Specificite],MATCH(ChoixRationBisons&amp;Ration_hivernale_complète_bisons[aliment],Règles_bison[Ration]&amp;Règles_bison[Aliment],0))="s2",IF(Ration_hivernale_complète_bisons[aliment]=ChoixSpécificité2Bisons,1)),
INDEX(Règles_bison[Specificite],MATCH(ChoixRationBisons&amp;Ration_hivernale_complète_bisons[aliment],Règles_bison[Ration]&amp;Règles_bison[Aliment],0))="c",INDEX(Règles_bison[Specificite],MATCH(ChoixRationBisons&amp;Ration_hivernale_complète_bisons[aliment],Règles_bison[Ration]&amp;Règles_bison[Aliment],0))="complet"),
INDEX(Règles_bison[Valeur 0-3],MATCH(ChoixRationBisons&amp;Ration_hivernale_complète_bisons[aliment],Règles_bison[Ration]&amp;Règles_bison[Aliment],0)),0),0)*SUM(TotalBisons0_3)*SUM(AB76:AB100),0)</f>
        <v>0</v>
      </c>
      <c r="BU110" s="381">
        <f>SUM(Ration_hivernale_complète_bisons[[Val 36 et plus]:[Val 0-3]])</f>
        <v>0</v>
      </c>
      <c r="BX110" s="332" t="s">
        <v>729</v>
      </c>
      <c r="BY110" s="332">
        <f t="array" ref="BY110">IF(ChoixRationComplèteCaprins=OUI,0,IFERROR(IF(OR(AND(INDEX(Règles_caprins[Specificite],MATCH(ChoixRationCaprins&amp;$BX110,Règles_caprins[Ration]&amp;Règles_caprins[Aliment],0))="s1",IF($BX110=Spécificité1Caprins,1)),
INDEX(Règles_caprins[Specificite],MATCH(ChoixRationCaprins&amp;$BX110,Règles_caprins[Ration]&amp;Règles_caprins[Aliment],0))="c"),
INDEX(Règles_caprins[Valeur 12 et plus],MATCH(ChoixRationCaprins&amp;$BX110,Règles_caprins[Ration]&amp;Règles_caprins[Aliment],0)),0),0)*TotalBoucs*NbreJoursNourrirCaprins)</f>
        <v>0</v>
      </c>
      <c r="BZ110" s="332">
        <f t="array" ref="BZ110">IF(ChoixRationComplèteCaprins=OUI,0,IFERROR(IF(OR(AND(INDEX(Règles_caprins[Specificite],MATCH(ChoixRationCaprins&amp;$BX110,Règles_caprins[Ration]&amp;Règles_caprins[Aliment],0))="s1",IF($BX110=Spécificité1Caprins,1)),
INDEX(Règles_caprins[Specificite],MATCH(ChoixRationCaprins&amp;$BX110,Règles_caprins[Ration]&amp;Règles_caprins[Aliment],0))="c"),
INDEX(Règles_caprins[Valeur 6-12],MATCH(ChoixRationCaprins&amp;$BX110,Règles_caprins[Ration]&amp;Règles_caprins[Aliment],0)),0),0)*jeune_bouc_6_12_mois*NbreJoursNourrirCaprins)</f>
        <v>0</v>
      </c>
      <c r="CA110" s="332">
        <f t="array" ref="CA110">IF(ChoixRationComplèteCaprins=OUI,0,IFERROR(IF(OR(AND(INDEX(Règles_caprins[Specificite],MATCH(ChoixRationCaprins&amp;$BX110,Règles_caprins[Ration]&amp;Règles_caprins[Aliment],0))="s1",IF($BX110=Spécificité1Caprins,1)),
INDEX(Règles_caprins[Specificite],MATCH(ChoixRationCaprins&amp;$BX110,Règles_caprins[Ration]&amp;Règles_caprins[Aliment],0))="c"),
INDEX(Règles_caprins[Valeur 3-6],MATCH(ChoixRationCaprins&amp;$BX110,Règles_caprins[Ration]&amp;Règles_caprins[Aliment],0)),0),0)*chevreau_3_6_mois*NbreJoursNourrirCaprins)</f>
        <v>0</v>
      </c>
      <c r="CB110" s="332">
        <f t="array" ref="CB110">IF(ChoixRationComplèteCaprins=OUI,0,IFERROR(IF(OR(AND(INDEX(Règles_caprins[Specificite],MATCH(ChoixRationCaprins&amp;$BX110,Règles_caprins[Ration]&amp;Règles_caprins[Aliment],0))="s1",IF($BX110=Spécificité1Caprins,1)),
INDEX(Règles_caprins[Specificite],MATCH(ChoixRationCaprins&amp;$BX110,Règles_caprins[Ration]&amp;Règles_caprins[Aliment],0))="c"),
INDEX(Règles_caprins[Valeur 0-3],MATCH(ChoixRationCaprins&amp;$BX110,Règles_caprins[Ration]&amp;Règles_caprins[Aliment],0)),0),0)*chevreau_0_3_mois*NbreJoursNourrirCaprins)</f>
        <v>0</v>
      </c>
      <c r="CC110" s="332">
        <f t="shared" si="9"/>
        <v>0</v>
      </c>
      <c r="CH110" s="276"/>
    </row>
    <row r="111" spans="1:86" ht="12.75" customHeight="1" x14ac:dyDescent="0.2">
      <c r="A111" s="355" t="s">
        <v>165</v>
      </c>
      <c r="B111" s="362">
        <f t="shared" si="8"/>
        <v>1E-3</v>
      </c>
      <c r="F111" s="280" t="s">
        <v>187</v>
      </c>
      <c r="G111" s="311" t="s">
        <v>661</v>
      </c>
      <c r="H111" s="311" t="s">
        <v>672</v>
      </c>
      <c r="I111" s="311" t="s">
        <v>662</v>
      </c>
      <c r="J111" s="311" t="s">
        <v>629</v>
      </c>
      <c r="K111" s="311" t="s">
        <v>629</v>
      </c>
      <c r="L111" s="311" t="s">
        <v>629</v>
      </c>
      <c r="O111" s="366">
        <v>0</v>
      </c>
      <c r="BB111" s="369" t="s">
        <v>741</v>
      </c>
      <c r="BC111" s="344" t="s">
        <v>383</v>
      </c>
      <c r="BD111" s="344" t="s">
        <v>712</v>
      </c>
      <c r="BE111" s="370">
        <v>7.2</v>
      </c>
      <c r="BF111" s="370">
        <v>6</v>
      </c>
      <c r="BG111" s="370">
        <v>4</v>
      </c>
      <c r="BH111" s="370">
        <v>2</v>
      </c>
      <c r="BI111" s="370">
        <v>1.2</v>
      </c>
      <c r="BJ111" s="370">
        <v>0.6</v>
      </c>
      <c r="BK111" s="371">
        <v>0</v>
      </c>
      <c r="BL111" s="305"/>
      <c r="BM111" s="306"/>
      <c r="BQ111" s="277"/>
      <c r="BU111" s="308"/>
      <c r="BX111" s="332" t="s">
        <v>426</v>
      </c>
      <c r="BY111" s="332">
        <f t="array" ref="BY111">IF(ChoixRationComplèteCaprins=OUI,0,IFERROR(IF(OR(AND(INDEX(Règles_caprins[Specificite],MATCH(ChoixRationCaprins&amp;$BX111,Règles_caprins[Ration]&amp;Règles_caprins[Aliment],0))="s1",IF($BX111=Spécificité1Caprins,1)),
INDEX(Règles_caprins[Specificite],MATCH(ChoixRationCaprins&amp;$BX111,Règles_caprins[Ration]&amp;Règles_caprins[Aliment],0))="c"),
INDEX(Règles_caprins[Valeur 12 et plus],MATCH(ChoixRationCaprins&amp;$BX111,Règles_caprins[Ration]&amp;Règles_caprins[Aliment],0)),0),0)*TotalBoucs*NbreJoursNourrirCaprins)</f>
        <v>0</v>
      </c>
      <c r="BZ111" s="332">
        <f t="array" ref="BZ111">IF(ChoixRationComplèteCaprins=OUI,0,IFERROR(IF(OR(AND(INDEX(Règles_caprins[Specificite],MATCH(ChoixRationCaprins&amp;$BX111,Règles_caprins[Ration]&amp;Règles_caprins[Aliment],0))="s1",IF($BX111=Spécificité1Caprins,1)),
INDEX(Règles_caprins[Specificite],MATCH(ChoixRationCaprins&amp;$BX111,Règles_caprins[Ration]&amp;Règles_caprins[Aliment],0))="c"),
INDEX(Règles_caprins[Valeur 6-12],MATCH(ChoixRationCaprins&amp;$BX111,Règles_caprins[Ration]&amp;Règles_caprins[Aliment],0)),0),0)*jeune_bouc_6_12_mois*NbreJoursNourrirCaprins)</f>
        <v>0</v>
      </c>
      <c r="CA111" s="332">
        <f t="array" ref="CA111">IF(ChoixRationComplèteCaprins=OUI,0,IFERROR(IF(OR(AND(INDEX(Règles_caprins[Specificite],MATCH(ChoixRationCaprins&amp;$BX111,Règles_caprins[Ration]&amp;Règles_caprins[Aliment],0))="s1",IF($BX111=Spécificité1Caprins,1)),
INDEX(Règles_caprins[Specificite],MATCH(ChoixRationCaprins&amp;$BX111,Règles_caprins[Ration]&amp;Règles_caprins[Aliment],0))="c"),
INDEX(Règles_caprins[Valeur 3-6],MATCH(ChoixRationCaprins&amp;$BX111,Règles_caprins[Ration]&amp;Règles_caprins[Aliment],0)),0),0)*chevreau_3_6_mois*NbreJoursNourrirCaprins)</f>
        <v>0</v>
      </c>
      <c r="CB111" s="332">
        <f t="array" ref="CB111">IF(ChoixRationComplèteCaprins=OUI,0,IFERROR(IF(OR(AND(INDEX(Règles_caprins[Specificite],MATCH(ChoixRationCaprins&amp;$BX111,Règles_caprins[Ration]&amp;Règles_caprins[Aliment],0))="s1",IF($BX111=Spécificité1Caprins,1)),
INDEX(Règles_caprins[Specificite],MATCH(ChoixRationCaprins&amp;$BX111,Règles_caprins[Ration]&amp;Règles_caprins[Aliment],0))="c"),
INDEX(Règles_caprins[Valeur 0-3],MATCH(ChoixRationCaprins&amp;$BX111,Règles_caprins[Ration]&amp;Règles_caprins[Aliment],0)),0),0)*chevreau_0_3_mois*NbreJoursNourrirCaprins)</f>
        <v>0</v>
      </c>
      <c r="CC111" s="332">
        <f t="shared" si="9"/>
        <v>0</v>
      </c>
      <c r="CH111" s="276"/>
    </row>
    <row r="112" spans="1:86" ht="12.75" customHeight="1" x14ac:dyDescent="0.2">
      <c r="A112" s="363" t="s">
        <v>166</v>
      </c>
      <c r="B112" s="362">
        <f t="shared" si="8"/>
        <v>1E-3</v>
      </c>
      <c r="F112" s="280" t="s">
        <v>188</v>
      </c>
      <c r="G112" s="311" t="s">
        <v>662</v>
      </c>
      <c r="H112" s="311" t="s">
        <v>630</v>
      </c>
      <c r="I112" s="311" t="s">
        <v>673</v>
      </c>
      <c r="J112" s="311" t="s">
        <v>660</v>
      </c>
      <c r="K112" s="311" t="s">
        <v>660</v>
      </c>
      <c r="L112" s="311" t="s">
        <v>672</v>
      </c>
      <c r="O112" s="366">
        <v>1000</v>
      </c>
      <c r="BB112" s="369" t="s">
        <v>741</v>
      </c>
      <c r="BC112" s="344" t="s">
        <v>160</v>
      </c>
      <c r="BD112" s="344" t="s">
        <v>712</v>
      </c>
      <c r="BE112" s="370">
        <v>7.2</v>
      </c>
      <c r="BF112" s="370">
        <v>6</v>
      </c>
      <c r="BG112" s="370">
        <v>4</v>
      </c>
      <c r="BH112" s="370">
        <v>2</v>
      </c>
      <c r="BI112" s="370">
        <v>1.2</v>
      </c>
      <c r="BJ112" s="370">
        <v>0.6</v>
      </c>
      <c r="BK112" s="371">
        <v>0</v>
      </c>
      <c r="BL112" s="305"/>
      <c r="BM112" s="229" t="s">
        <v>887</v>
      </c>
      <c r="BN112" s="229"/>
      <c r="BO112" s="229"/>
      <c r="BP112" s="229"/>
      <c r="BQ112" s="277"/>
      <c r="BU112" s="308"/>
      <c r="BX112" s="332" t="s">
        <v>425</v>
      </c>
      <c r="BY112" s="332">
        <f t="array" ref="BY112">IF(ChoixRationComplèteCaprins=OUI,0,IFERROR(IF(OR(AND(INDEX(Règles_caprins[Specificite],MATCH(ChoixRationCaprins&amp;$BX112,Règles_caprins[Ration]&amp;Règles_caprins[Aliment],0))="s1",IF($BX112=Spécificité1Caprins,1)),
INDEX(Règles_caprins[Specificite],MATCH(ChoixRationCaprins&amp;$BX112,Règles_caprins[Ration]&amp;Règles_caprins[Aliment],0))="c"),
INDEX(Règles_caprins[Valeur 12 et plus],MATCH(ChoixRationCaprins&amp;$BX112,Règles_caprins[Ration]&amp;Règles_caprins[Aliment],0)),0),0)*TotalBoucs*NbreJoursNourrirCaprins)</f>
        <v>0</v>
      </c>
      <c r="BZ112" s="332">
        <f t="array" ref="BZ112">IF(ChoixRationComplèteCaprins=OUI,0,IFERROR(IF(OR(AND(INDEX(Règles_caprins[Specificite],MATCH(ChoixRationCaprins&amp;$BX112,Règles_caprins[Ration]&amp;Règles_caprins[Aliment],0))="s1",IF($BX112=Spécificité1Caprins,1)),
INDEX(Règles_caprins[Specificite],MATCH(ChoixRationCaprins&amp;$BX112,Règles_caprins[Ration]&amp;Règles_caprins[Aliment],0))="c"),
INDEX(Règles_caprins[Valeur 6-12],MATCH(ChoixRationCaprins&amp;$BX112,Règles_caprins[Ration]&amp;Règles_caprins[Aliment],0)),0),0)*jeune_bouc_6_12_mois*NbreJoursNourrirCaprins)</f>
        <v>0</v>
      </c>
      <c r="CA112" s="332">
        <f t="array" ref="CA112">IF(ChoixRationComplèteCaprins=OUI,0,IFERROR(IF(OR(AND(INDEX(Règles_caprins[Specificite],MATCH(ChoixRationCaprins&amp;$BX112,Règles_caprins[Ration]&amp;Règles_caprins[Aliment],0))="s1",IF($BX112=Spécificité1Caprins,1)),
INDEX(Règles_caprins[Specificite],MATCH(ChoixRationCaprins&amp;$BX112,Règles_caprins[Ration]&amp;Règles_caprins[Aliment],0))="c"),
INDEX(Règles_caprins[Valeur 3-6],MATCH(ChoixRationCaprins&amp;$BX112,Règles_caprins[Ration]&amp;Règles_caprins[Aliment],0)),0),0)*chevreau_3_6_mois*NbreJoursNourrirCaprins)</f>
        <v>0</v>
      </c>
      <c r="CB112" s="332">
        <f t="array" ref="CB112">IF(ChoixRationComplèteCaprins=OUI,0,IFERROR(IF(OR(AND(INDEX(Règles_caprins[Specificite],MATCH(ChoixRationCaprins&amp;$BX112,Règles_caprins[Ration]&amp;Règles_caprins[Aliment],0))="s1",IF($BX112=Spécificité1Caprins,1)),
INDEX(Règles_caprins[Specificite],MATCH(ChoixRationCaprins&amp;$BX112,Règles_caprins[Ration]&amp;Règles_caprins[Aliment],0))="c"),
INDEX(Règles_caprins[Valeur 0-3],MATCH(ChoixRationCaprins&amp;$BX112,Règles_caprins[Ration]&amp;Règles_caprins[Aliment],0)),0),0)*chevreau_0_3_mois*NbreJoursNourrirCaprins)</f>
        <v>0</v>
      </c>
      <c r="CC112" s="332">
        <f t="shared" si="9"/>
        <v>0</v>
      </c>
      <c r="CH112" s="276"/>
    </row>
    <row r="113" spans="1:86" ht="12.75" customHeight="1" x14ac:dyDescent="0.2">
      <c r="A113" s="355" t="s">
        <v>2</v>
      </c>
      <c r="B113" s="362">
        <f t="shared" si="8"/>
        <v>1E-3</v>
      </c>
      <c r="F113" s="280" t="s">
        <v>107</v>
      </c>
      <c r="G113" s="280" t="s">
        <v>666</v>
      </c>
      <c r="H113" s="280" t="s">
        <v>667</v>
      </c>
      <c r="I113" s="311" t="s">
        <v>628</v>
      </c>
      <c r="J113" s="280" t="s">
        <v>668</v>
      </c>
      <c r="K113" s="280">
        <v>0</v>
      </c>
      <c r="L113" s="280">
        <v>0</v>
      </c>
      <c r="O113" s="366">
        <v>2000</v>
      </c>
      <c r="BB113" s="369" t="s">
        <v>741</v>
      </c>
      <c r="BC113" s="344" t="s">
        <v>47</v>
      </c>
      <c r="BD113" s="344" t="s">
        <v>712</v>
      </c>
      <c r="BE113" s="370">
        <v>7.2</v>
      </c>
      <c r="BF113" s="370">
        <v>6</v>
      </c>
      <c r="BG113" s="370">
        <v>4</v>
      </c>
      <c r="BH113" s="370">
        <v>2</v>
      </c>
      <c r="BI113" s="370">
        <v>1.2</v>
      </c>
      <c r="BJ113" s="370">
        <v>0.6</v>
      </c>
      <c r="BK113" s="371">
        <v>0</v>
      </c>
      <c r="BL113" s="305"/>
      <c r="BM113" s="331" t="s">
        <v>734</v>
      </c>
      <c r="BN113" s="335" t="s">
        <v>884</v>
      </c>
      <c r="BO113" s="335" t="s">
        <v>885</v>
      </c>
      <c r="BP113" s="335" t="s">
        <v>886</v>
      </c>
      <c r="BQ113" s="277"/>
      <c r="BX113" s="332" t="s">
        <v>882</v>
      </c>
      <c r="BY113" s="332">
        <f t="array" ref="BY113">IF(ChoixRationComplèteCaprins=OUI,0,IFERROR(IF(OR(AND(INDEX(Règles_caprins[Specificite],MATCH(ChoixRationCaprins&amp;$BX113,Règles_caprins[Ration]&amp;Règles_caprins[Aliment],0))="s1",IF($BX113=Spécificité1Caprins,1)),
INDEX(Règles_caprins[Specificite],MATCH(ChoixRationCaprins&amp;$BX113,Règles_caprins[Ration]&amp;Règles_caprins[Aliment],0))="c"),
INDEX(Règles_caprins[Valeur 12 et plus],MATCH(ChoixRationCaprins&amp;$BX113,Règles_caprins[Ration]&amp;Règles_caprins[Aliment],0)),0),0)*TotalBoucs*NbreJoursNourrirCaprins)</f>
        <v>0</v>
      </c>
      <c r="BZ113" s="332">
        <f t="array" ref="BZ113">IF(ChoixRationComplèteCaprins=OUI,0,IFERROR(IF(OR(AND(INDEX(Règles_caprins[Specificite],MATCH(ChoixRationCaprins&amp;$BX113,Règles_caprins[Ration]&amp;Règles_caprins[Aliment],0))="s1",IF($BX113=Spécificité1Caprins,1)),
INDEX(Règles_caprins[Specificite],MATCH(ChoixRationCaprins&amp;$BX113,Règles_caprins[Ration]&amp;Règles_caprins[Aliment],0))="c"),
INDEX(Règles_caprins[Valeur 6-12],MATCH(ChoixRationCaprins&amp;$BX113,Règles_caprins[Ration]&amp;Règles_caprins[Aliment],0)),0),0)*jeune_bouc_6_12_mois*NbreJoursNourrirCaprins)</f>
        <v>0</v>
      </c>
      <c r="CA113" s="332">
        <f t="array" ref="CA113">IF(ChoixRationComplèteCaprins=OUI,0,IFERROR(IF(OR(AND(INDEX(Règles_caprins[Specificite],MATCH(ChoixRationCaprins&amp;$BX113,Règles_caprins[Ration]&amp;Règles_caprins[Aliment],0))="s1",IF($BX113=Spécificité1Caprins,1)),
INDEX(Règles_caprins[Specificite],MATCH(ChoixRationCaprins&amp;$BX113,Règles_caprins[Ration]&amp;Règles_caprins[Aliment],0))="c"),
INDEX(Règles_caprins[Valeur 3-6],MATCH(ChoixRationCaprins&amp;$BX113,Règles_caprins[Ration]&amp;Règles_caprins[Aliment],0)),0),0)*chevreau_3_6_mois*NbreJoursNourrirCaprins)</f>
        <v>0</v>
      </c>
      <c r="CB113" s="332">
        <f t="array" ref="CB113">IF(ChoixRationComplèteCaprins=OUI,0,IFERROR(IF(OR(AND(INDEX(Règles_caprins[Specificite],MATCH(ChoixRationCaprins&amp;$BX113,Règles_caprins[Ration]&amp;Règles_caprins[Aliment],0))="s1",IF($BX113=Spécificité1Caprins,1)),
INDEX(Règles_caprins[Specificite],MATCH(ChoixRationCaprins&amp;$BX113,Règles_caprins[Ration]&amp;Règles_caprins[Aliment],0))="c"),
INDEX(Règles_caprins[Valeur 0-3],MATCH(ChoixRationCaprins&amp;$BX113,Règles_caprins[Ration]&amp;Règles_caprins[Aliment],0)),0),0)*chevreau_0_3_mois*NbreJoursNourrirCaprins)</f>
        <v>0</v>
      </c>
      <c r="CC113" s="332">
        <f t="shared" si="9"/>
        <v>0</v>
      </c>
      <c r="CH113" s="276"/>
    </row>
    <row r="114" spans="1:86" ht="12.75" customHeight="1" x14ac:dyDescent="0.2">
      <c r="A114" s="355" t="s">
        <v>3</v>
      </c>
      <c r="B114" s="362">
        <f t="shared" si="8"/>
        <v>1E-3</v>
      </c>
      <c r="F114" s="280" t="s">
        <v>106</v>
      </c>
      <c r="G114" s="280">
        <v>0</v>
      </c>
      <c r="H114" s="311" t="s">
        <v>630</v>
      </c>
      <c r="I114" s="280" t="s">
        <v>653</v>
      </c>
      <c r="J114" s="280" t="s">
        <v>653</v>
      </c>
      <c r="K114" s="311" t="s">
        <v>672</v>
      </c>
      <c r="L114" s="311" t="s">
        <v>629</v>
      </c>
      <c r="O114" s="366">
        <v>3000</v>
      </c>
      <c r="BB114" s="369" t="s">
        <v>741</v>
      </c>
      <c r="BC114" s="344" t="s">
        <v>732</v>
      </c>
      <c r="BD114" s="344" t="s">
        <v>713</v>
      </c>
      <c r="BE114" s="370">
        <v>4.8</v>
      </c>
      <c r="BF114" s="370">
        <v>4</v>
      </c>
      <c r="BG114" s="370">
        <v>4</v>
      </c>
      <c r="BH114" s="370">
        <v>4</v>
      </c>
      <c r="BI114" s="370">
        <v>2</v>
      </c>
      <c r="BJ114" s="370">
        <v>1.2</v>
      </c>
      <c r="BK114" s="371">
        <v>0</v>
      </c>
      <c r="BL114" s="305"/>
      <c r="BM114" s="332" t="str">
        <f>BM36</f>
        <v>Avoine</v>
      </c>
      <c r="BN114" s="333">
        <f t="array" ref="BN114">SUM((IF(QualitéAlimentsBisonneauxMâles_0_3_mois=BONNE,VLOOKUP("Avoine",AlimentsRationHivernaleBisonsMâles,8,FALSE),0)+(IF(QualitéAlimentsBisonneauxFemelles_0_3_mois=BONNE,VLOOKUP("Avoine",AlimentsRationHivernaleBisonsFemelles,8,FALSE),0)+(IF(QualitéAlimentsBisonneauxMâles_3_6_mois=BONNE,VLOOKUP("Avoine",AlimentsRationHivernaleBisonsMâles,7,FALSE),0)+(IF(QualitéAlimentsBisonneauxFemelles_3_6_mois=BONNE,VLOOKUP("Avoine",AlimentsRationHivernaleBisonsFemelles,7,FALSE),0)+(IF(QualitéAlimentsBisonneauxMâles_6_12_mois=BONNE,VLOOKUP("Avoine",AlimentsRationHivernaleBisonsMâles,6,FALSE),0)+(IF(QualitéAlimentsBisonneauxFemelles_6_12_mois=BONNE,VLOOKUP("Avoine",AlimentsRationHivernaleBisonsFemelles,6,FALSE),0)+(IF(QualitéAlimentsJeunesBisons_12_18_mois=BONNE,VLOOKUP("Avoine",AlimentsRationHivernaleBisonsMâles,5,FALSE),0)+(IF(QualitéAlimentsJeunesBisonnes_12_18_mois=BONNE,VLOOKUP("Avoine",AlimentsRationHivernaleBisonsFemelles,5,FALSE),0)+(IF(QualitéAlimentsJeunesBisons_18_24_mois=BONNE,VLOOKUP("Avoine",AlimentsRationHivernaleBisonsMâles,4,FALSE),0)+(IF(QualitéAlimentsJeunesBisonnes_18_24_mois=BONNE,VLOOKUP("Avoine",AlimentsRationHivernaleBisonsFemelles,4,FALSE),0)+(IF(QualitéAlimentsJeunesBisons_24_36_mois=BONNE,VLOOKUP("Avoine",AlimentsRationHivernaleBisonsMâles,3,FALSE),0)+(IF(QualitéAlimentsJeunesBisonnes_24_36_mois=BONNE,VLOOKUP("Avoine",AlimentsRationHivernaleBisonsFemelles,3,FALSE),0)+(IF(QualitéAlimentsBisons=BONNE,VLOOKUP("Avoine",AlimentsRationHivernaleBisonsMâles,2,FALSE),0)+(IF(QualitéAlimentsBisonnes=BONNE,VLOOKUP("Avoine",AlimentsRationHivernaleBisonsFemelles,2,FALSE),0))))))))))))))))</f>
        <v>0</v>
      </c>
      <c r="BO114" s="333">
        <f t="array" ref="BO114">SUM((IF(QualitéAlimentsBisonneauxMâles_0_3_mois=MOYENNE,VLOOKUP("Avoine",AlimentsRationHivernaleBisonsMâles,8,FALSE),0)+(IF(QualitéAlimentsBisonneauxFemelles_0_3_mois=MOYENNE,VLOOKUP("Avoine",AlimentsRationHivernaleBisonsFemelles,8,FALSE),0)+(IF(QualitéAlimentsBisonneauxMâles_3_6_mois=MOYENNE,VLOOKUP("Avoine",AlimentsRationHivernaleBisonsMâles,7,FALSE),0)+(IF(QualitéAlimentsBisonneauxFemelles_3_6_mois=MOYENNE,VLOOKUP("Avoine",AlimentsRationHivernaleBisonsFemelles,7,FALSE),0)+(IF(QualitéAlimentsBisonneauxMâles_6_12_mois=MOYENNE,VLOOKUP("Avoine",AlimentsRationHivernaleBisonsMâles,6,FALSE),0)+(IF(QualitéAlimentsBisonneauxFemelles_6_12_mois=MOYENNE,VLOOKUP("Avoine",AlimentsRationHivernaleBisonsFemelles,6,FALSE),0)+(IF(QualitéAlimentsJeunesBisons_12_18_mois=MOYENNE,VLOOKUP("Avoine",AlimentsRationHivernaleBisonsMâles,5,FALSE),0)+(IF(QualitéAlimentsJeunesBisonnes_12_18_mois=MOYENNE,VLOOKUP("Avoine",AlimentsRationHivernaleBisonsFemelles,5,FALSE),0)+(IF(QualitéAlimentsJeunesBisons_18_24_mois=MOYENNE,VLOOKUP("Avoine",AlimentsRationHivernaleBisonsMâles,4,FALSE),0)+(IF(QualitéAlimentsJeunesBisonnes_18_24_mois=MOYENNE,VLOOKUP("Avoine",AlimentsRationHivernaleBisonsFemelles,4,FALSE),0)+(IF(QualitéAlimentsJeunesBisons_24_36_mois=MOYENNE,VLOOKUP("Avoine",AlimentsRationHivernaleBisonsMâles,3,FALSE),0)+(IF(QualitéAlimentsJeunesBisonnes_24_36_mois=MOYENNE,VLOOKUP("Avoine",AlimentsRationHivernaleBisonsFemelles,3,FALSE),0)+(IF(QualitéAlimentsBisons=MOYENNE,VLOOKUP("Avoine",AlimentsRationHivernaleBisonsMâles,2,FALSE),0)+(IF(QualitéAlimentsBisonnes=MOYENNE,VLOOKUP("Avoine",AlimentsRationHivernaleBisonsFemelles,2,FALSE),0))))))))))))))))</f>
        <v>0</v>
      </c>
      <c r="BP114" s="333">
        <f t="array" ref="BP114">SUM((IF(QualitéAlimentsBisonneauxMâles_0_3_mois=MAUVAISE,VLOOKUP("Avoine",AlimentsRationHivernaleBisonsMâles,8,FALSE),0)+(IF(QualitéAlimentsBisonneauxFemelles_0_3_mois=MAUVAISE,VLOOKUP("Avoine",AlimentsRationHivernaleBisonsFemelles,8,FALSE),0)+(IF(QualitéAlimentsBisonneauxMâles_3_6_mois=MAUVAISE,VLOOKUP("Avoine",AlimentsRationHivernaleBisonsMâles,7,FALSE),0)+(IF(QualitéAlimentsBisonneauxFemelles_3_6_mois=MAUVAISE,VLOOKUP("Avoine",AlimentsRationHivernaleBisonsFemelles,7,FALSE),0)+(IF(QualitéAlimentsBisonneauxMâles_6_12_mois=MAUVAISE,VLOOKUP("Avoine",AlimentsRationHivernaleBisonsMâles,6,FALSE),0)+(IF(QualitéAlimentsBisonneauxFemelles_6_12_mois=MAUVAISE,VLOOKUP("Avoine",AlimentsRationHivernaleBisonsFemelles,6,FALSE),0)+(IF(QualitéAlimentsJeunesBisons_12_18_mois=MAUVAISE,VLOOKUP("Avoine",AlimentsRationHivernaleBisonsMâles,5,FALSE),0)+(IF(QualitéAlimentsJeunesBisonnes_12_18_mois=MAUVAISE,VLOOKUP("Avoine",AlimentsRationHivernaleBisonsFemelles,5,FALSE),0)+(IF(QualitéAlimentsJeunesBisons_18_24_mois=MAUVAISE,VLOOKUP("Avoine",AlimentsRationHivernaleBisonsMâles,4,FALSE),0)+(IF(QualitéAlimentsJeunesBisonnes_18_24_mois=MAUVAISE,VLOOKUP("Avoine",AlimentsRationHivernaleBisonsFemelles,4,FALSE),0)+(IF(QualitéAlimentsJeunesBisons_24_36_mois=MAUVAISE,VLOOKUP("Avoine",AlimentsRationHivernaleBisonsMâles,3,FALSE),0)+(IF(QualitéAlimentsJeunesBisonnes_24_36_mois=MAUVAISE,VLOOKUP("Avoine",AlimentsRationHivernaleBisonsFemelles,3,FALSE),0)+(IF(QualitéAlimentsBisons=MAUVAISE,VLOOKUP("Avoine",AlimentsRationHivernaleBisonsMâles,2,FALSE),0)+(IF(QualitéAlimentsBisonnes=MAUVAISE,VLOOKUP("Avoine",AlimentsRationHivernaleBisonsFemelles,2,FALSE),0))))))))))))))))</f>
        <v>0</v>
      </c>
      <c r="BQ114" s="282"/>
      <c r="BR114" s="282"/>
      <c r="BS114" s="282"/>
      <c r="BT114" s="282"/>
      <c r="BU114" s="282"/>
      <c r="BX114" s="332" t="s">
        <v>883</v>
      </c>
      <c r="BY114" s="332">
        <f t="array" ref="BY114">IF(ChoixRationComplèteCaprins=OUI,0,IFERROR(IF(OR(AND(INDEX(Règles_caprins[Specificite],MATCH(ChoixRationCaprins&amp;$BX114,Règles_caprins[Ration]&amp;Règles_caprins[Aliment],0))="s1",IF($BX114=Spécificité1Caprins,1)),
INDEX(Règles_caprins[Specificite],MATCH(ChoixRationCaprins&amp;$BX114,Règles_caprins[Ration]&amp;Règles_caprins[Aliment],0))="c"),
INDEX(Règles_caprins[Valeur 12 et plus],MATCH(ChoixRationCaprins&amp;$BX114,Règles_caprins[Ration]&amp;Règles_caprins[Aliment],0)),0),0)*TotalBoucs*NbreJoursNourrirCaprins)</f>
        <v>0</v>
      </c>
      <c r="BZ114" s="332">
        <f t="array" ref="BZ114">IF(ChoixRationComplèteCaprins=OUI,0,IFERROR(IF(OR(AND(INDEX(Règles_caprins[Specificite],MATCH(ChoixRationCaprins&amp;$BX114,Règles_caprins[Ration]&amp;Règles_caprins[Aliment],0))="s1",IF($BX114=Spécificité1Caprins,1)),
INDEX(Règles_caprins[Specificite],MATCH(ChoixRationCaprins&amp;$BX114,Règles_caprins[Ration]&amp;Règles_caprins[Aliment],0))="c"),
INDEX(Règles_caprins[Valeur 6-12],MATCH(ChoixRationCaprins&amp;$BX114,Règles_caprins[Ration]&amp;Règles_caprins[Aliment],0)),0),0)*jeune_bouc_6_12_mois*NbreJoursNourrirCaprins)</f>
        <v>0</v>
      </c>
      <c r="CA114" s="332">
        <f t="array" ref="CA114">IF(ChoixRationComplèteCaprins=OUI,0,IFERROR(IF(OR(AND(INDEX(Règles_caprins[Specificite],MATCH(ChoixRationCaprins&amp;$BX114,Règles_caprins[Ration]&amp;Règles_caprins[Aliment],0))="s1",IF($BX114=Spécificité1Caprins,1)),
INDEX(Règles_caprins[Specificite],MATCH(ChoixRationCaprins&amp;$BX114,Règles_caprins[Ration]&amp;Règles_caprins[Aliment],0))="c"),
INDEX(Règles_caprins[Valeur 3-6],MATCH(ChoixRationCaprins&amp;$BX114,Règles_caprins[Ration]&amp;Règles_caprins[Aliment],0)),0),0)*chevreau_3_6_mois*NbreJoursNourrirCaprins)</f>
        <v>0</v>
      </c>
      <c r="CB114" s="332">
        <f t="array" ref="CB114">IF(ChoixRationComplèteCaprins=OUI,0,IFERROR(IF(OR(AND(INDEX(Règles_caprins[Specificite],MATCH(ChoixRationCaprins&amp;$BX114,Règles_caprins[Ration]&amp;Règles_caprins[Aliment],0))="s1",IF($BX114=Spécificité1Caprins,1)),
INDEX(Règles_caprins[Specificite],MATCH(ChoixRationCaprins&amp;$BX114,Règles_caprins[Ration]&amp;Règles_caprins[Aliment],0))="c"),
INDEX(Règles_caprins[Valeur 0-3],MATCH(ChoixRationCaprins&amp;$BX114,Règles_caprins[Ration]&amp;Règles_caprins[Aliment],0)),0),0)*chevreau_0_3_mois*NbreJoursNourrirCaprins)</f>
        <v>0</v>
      </c>
      <c r="CC114" s="332">
        <f t="shared" si="9"/>
        <v>0</v>
      </c>
      <c r="CH114" s="276"/>
    </row>
    <row r="115" spans="1:86" ht="12.75" customHeight="1" x14ac:dyDescent="0.2">
      <c r="A115" s="363" t="s">
        <v>330</v>
      </c>
      <c r="B115" s="362">
        <f t="shared" si="8"/>
        <v>1E-3</v>
      </c>
      <c r="F115" s="280" t="s">
        <v>382</v>
      </c>
      <c r="G115" s="312" t="s">
        <v>663</v>
      </c>
      <c r="H115" s="311" t="s">
        <v>630</v>
      </c>
      <c r="I115" s="311" t="s">
        <v>662</v>
      </c>
      <c r="J115" s="311" t="s">
        <v>660</v>
      </c>
      <c r="K115" s="311" t="s">
        <v>660</v>
      </c>
      <c r="L115" s="280">
        <v>0</v>
      </c>
      <c r="O115" s="366">
        <v>4000</v>
      </c>
      <c r="BB115" s="369" t="s">
        <v>741</v>
      </c>
      <c r="BC115" s="344" t="s">
        <v>426</v>
      </c>
      <c r="BD115" s="344" t="s">
        <v>713</v>
      </c>
      <c r="BE115" s="370">
        <v>4.8</v>
      </c>
      <c r="BF115" s="370">
        <v>4</v>
      </c>
      <c r="BG115" s="370">
        <v>4</v>
      </c>
      <c r="BH115" s="370">
        <v>4</v>
      </c>
      <c r="BI115" s="370">
        <v>2</v>
      </c>
      <c r="BJ115" s="370">
        <v>1.2</v>
      </c>
      <c r="BK115" s="371">
        <v>0</v>
      </c>
      <c r="BL115" s="305"/>
      <c r="BM115" s="332" t="str">
        <f t="shared" ref="BM115:BM148" si="10">BM37</f>
        <v>Betterave</v>
      </c>
      <c r="BN115" s="333">
        <f t="array" ref="BN115">SUM((IF(QualitéAlimentsBisonneauxMâles_0_3_mois=BONNE,VLOOKUP("Betterave",AlimentsRationHivernaleBisonsMâles,8,FALSE),0)+(IF(QualitéAlimentsBisonneauxFemelles_0_3_mois=BONNE,VLOOKUP("Betterave",AlimentsRationHivernaleBisonsFemelles,8,FALSE),0)+(IF(QualitéAlimentsBisonneauxMâles_3_6_mois=BONNE,VLOOKUP("Betterave",AlimentsRationHivernaleBisonsMâles,7,FALSE),0)+(IF(QualitéAlimentsBisonneauxFemelles_3_6_mois=BONNE,VLOOKUP("Betterave",AlimentsRationHivernaleBisonsFemelles,7,FALSE),0)+(IF(QualitéAlimentsBisonneauxMâles_6_12_mois=BONNE,VLOOKUP("Betterave",AlimentsRationHivernaleBisonsMâles,6,FALSE),0)+(IF(QualitéAlimentsBisonneauxFemelles_6_12_mois=BONNE,VLOOKUP("Betterave",AlimentsRationHivernaleBisonsFemelles,6,FALSE),0)+(IF(QualitéAlimentsJeunesBisons_12_18_mois=BONNE,VLOOKUP("Betterave",AlimentsRationHivernaleBisonsMâles,5,FALSE),0)+(IF(QualitéAlimentsJeunesBisonnes_12_18_mois=BONNE,VLOOKUP("Betterave",AlimentsRationHivernaleBisonsFemelles,5,FALSE),0)+(IF(QualitéAlimentsJeunesBisons_18_24_mois=BONNE,VLOOKUP("Betterave",AlimentsRationHivernaleBisonsMâles,4,FALSE),0)+(IF(QualitéAlimentsJeunesBisonnes_18_24_mois=BONNE,VLOOKUP("Betterave",AlimentsRationHivernaleBisonsFemelles,4,FALSE),0)+(IF(QualitéAlimentsJeunesBisons_24_36_mois=BONNE,VLOOKUP("Betterave",AlimentsRationHivernaleBisonsMâles,3,FALSE),0)+(IF(QualitéAlimentsJeunesBisonnes_24_36_mois=BONNE,VLOOKUP("Betterave",AlimentsRationHivernaleBisonsFemelles,3,FALSE),0)+(IF(QualitéAlimentsBisons=BONNE,VLOOKUP("Betterave",AlimentsRationHivernaleBisonsMâles,2,FALSE),0)+(IF(QualitéAlimentsBisonnes=BONNE,VLOOKUP("Betterave",AlimentsRationHivernaleBisonsFemelles,2,FALSE),0))))))))))))))))</f>
        <v>0</v>
      </c>
      <c r="BO115" s="333">
        <f t="array" ref="BO115">SUM((IF(QualitéAlimentsBisonneauxMâles_0_3_mois=MOYENNE,VLOOKUP("Betterave",AlimentsRationHivernaleBisonsMâles,8,FALSE),0)+(IF(QualitéAlimentsBisonneauxFemelles_0_3_mois=MOYENNE,VLOOKUP("Betterave",AlimentsRationHivernaleBisonsFemelles,8,FALSE),0)+(IF(QualitéAlimentsBisonneauxMâles_3_6_mois=MOYENNE,VLOOKUP("Betterave",AlimentsRationHivernaleBisonsMâles,7,FALSE),0)+(IF(QualitéAlimentsBisonneauxFemelles_3_6_mois=MOYENNE,VLOOKUP("Betterave",AlimentsRationHivernaleBisonsFemelles,7,FALSE),0)+(IF(QualitéAlimentsBisonneauxMâles_6_12_mois=MOYENNE,VLOOKUP("Betterave",AlimentsRationHivernaleBisonsMâles,6,FALSE),0)+(IF(QualitéAlimentsBisonneauxFemelles_6_12_mois=MOYENNE,VLOOKUP("Betterave",AlimentsRationHivernaleBisonsFemelles,6,FALSE),0)+(IF(QualitéAlimentsJeunesBisons_12_18_mois=MOYENNE,VLOOKUP("Betterave",AlimentsRationHivernaleBisonsMâles,5,FALSE),0)+(IF(QualitéAlimentsJeunesBisonnes_12_18_mois=MOYENNE,VLOOKUP("Betterave",AlimentsRationHivernaleBisonsFemelles,5,FALSE),0)+(IF(QualitéAlimentsJeunesBisons_18_24_mois=MOYENNE,VLOOKUP("Betterave",AlimentsRationHivernaleBisonsMâles,4,FALSE),0)+(IF(QualitéAlimentsJeunesBisonnes_18_24_mois=MOYENNE,VLOOKUP("Betterave",AlimentsRationHivernaleBisonsFemelles,4,FALSE),0)+(IF(QualitéAlimentsJeunesBisons_24_36_mois=MOYENNE,VLOOKUP("Betterave",AlimentsRationHivernaleBisonsMâles,3,FALSE),0)+(IF(QualitéAlimentsJeunesBisonnes_24_36_mois=MOYENNE,VLOOKUP("Betterave",AlimentsRationHivernaleBisonsFemelles,3,FALSE),0)+(IF(QualitéAlimentsBisons=MOYENNE,VLOOKUP("Betterave",AlimentsRationHivernaleBisonsMâles,2,FALSE),0)+(IF(QualitéAlimentsBisonnes=MOYENNE,VLOOKUP("Betterave",AlimentsRationHivernaleBisonsFemelles,2,FALSE),0))))))))))))))))</f>
        <v>0</v>
      </c>
      <c r="BP115" s="333">
        <f t="array" ref="BP115">SUM((IF(QualitéAlimentsBisonneauxMâles_0_3_mois=MAUVAISE,VLOOKUP("Betterave",AlimentsRationHivernaleBisonsMâles,8,FALSE),0)+(IF(QualitéAlimentsBisonneauxFemelles_0_3_mois=MAUVAISE,VLOOKUP("Betterave",AlimentsRationHivernaleBisonsFemelles,8,FALSE),0)+(IF(QualitéAlimentsBisonneauxMâles_3_6_mois=MAUVAISE,VLOOKUP("Betterave",AlimentsRationHivernaleBisonsMâles,7,FALSE),0)+(IF(QualitéAlimentsBisonneauxFemelles_3_6_mois=MAUVAISE,VLOOKUP("Betterave",AlimentsRationHivernaleBisonsFemelles,7,FALSE),0)+(IF(QualitéAlimentsBisonneauxMâles_6_12_mois=MAUVAISE,VLOOKUP("Betterave",AlimentsRationHivernaleBisonsMâles,6,FALSE),0)+(IF(QualitéAlimentsBisonneauxFemelles_6_12_mois=MAUVAISE,VLOOKUP("Betterave",AlimentsRationHivernaleBisonsFemelles,6,FALSE),0)+(IF(QualitéAlimentsJeunesBisons_12_18_mois=MAUVAISE,VLOOKUP("Betterave",AlimentsRationHivernaleBisonsMâles,5,FALSE),0)+(IF(QualitéAlimentsJeunesBisonnes_12_18_mois=MAUVAISE,VLOOKUP("Betterave",AlimentsRationHivernaleBisonsFemelles,5,FALSE),0)+(IF(QualitéAlimentsJeunesBisons_18_24_mois=MAUVAISE,VLOOKUP("Betterave",AlimentsRationHivernaleBisonsMâles,4,FALSE),0)+(IF(QualitéAlimentsJeunesBisonnes_18_24_mois=MAUVAISE,VLOOKUP("Betterave",AlimentsRationHivernaleBisonsFemelles,4,FALSE),0)+(IF(QualitéAlimentsJeunesBisons_24_36_mois=MAUVAISE,VLOOKUP("Betterave",AlimentsRationHivernaleBisonsMâles,3,FALSE),0)+(IF(QualitéAlimentsJeunesBisonnes_24_36_mois=MAUVAISE,VLOOKUP("Betterave",AlimentsRationHivernaleBisonsFemelles,3,FALSE),0)+(IF(QualitéAlimentsBisons=MAUVAISE,VLOOKUP("Betterave",AlimentsRationHivernaleBisonsMâles,2,FALSE),0)+(IF(QualitéAlimentsBisonnes=MAUVAISE,VLOOKUP("Betterave",AlimentsRationHivernaleBisonsFemelles,2,FALSE),0))))))))))))))))</f>
        <v>0</v>
      </c>
      <c r="BQ115" s="282"/>
      <c r="BR115" s="282"/>
      <c r="BS115" s="282"/>
      <c r="BT115" s="282"/>
      <c r="BU115" s="282"/>
      <c r="BX115" s="332" t="s">
        <v>881</v>
      </c>
      <c r="BY115" s="332">
        <f t="array" ref="BY115">IF(ChoixRationComplèteCaprins=OUI,0,IFERROR(IF(OR(AND(INDEX(Règles_caprins[Specificite],MATCH(ChoixRationCaprins&amp;$BX115,Règles_caprins[Ration]&amp;Règles_caprins[Aliment],0))="s1",IF($BX115=Spécificité1Caprins,1)),
INDEX(Règles_caprins[Specificite],MATCH(ChoixRationCaprins&amp;$BX115,Règles_caprins[Ration]&amp;Règles_caprins[Aliment],0))="c"),
INDEX(Règles_caprins[Valeur 12 et plus],MATCH(ChoixRationCaprins&amp;$BX115,Règles_caprins[Ration]&amp;Règles_caprins[Aliment],0)),0),0)*TotalBoucs*NbreJoursNourrirCaprins)</f>
        <v>0</v>
      </c>
      <c r="BZ115" s="332">
        <f t="array" ref="BZ115">IF(ChoixRationComplèteCaprins=OUI,0,IFERROR(IF(OR(AND(INDEX(Règles_caprins[Specificite],MATCH(ChoixRationCaprins&amp;$BX115,Règles_caprins[Ration]&amp;Règles_caprins[Aliment],0))="s1",IF($BX115=Spécificité1Caprins,1)),
INDEX(Règles_caprins[Specificite],MATCH(ChoixRationCaprins&amp;$BX115,Règles_caprins[Ration]&amp;Règles_caprins[Aliment],0))="c"),
INDEX(Règles_caprins[Valeur 6-12],MATCH(ChoixRationCaprins&amp;$BX115,Règles_caprins[Ration]&amp;Règles_caprins[Aliment],0)),0),0)*jeune_bouc_6_12_mois*NbreJoursNourrirCaprins)</f>
        <v>0</v>
      </c>
      <c r="CA115" s="332">
        <f t="array" ref="CA115">IF(ChoixRationComplèteCaprins=OUI,0,IFERROR(IF(OR(AND(INDEX(Règles_caprins[Specificite],MATCH(ChoixRationCaprins&amp;$BX115,Règles_caprins[Ration]&amp;Règles_caprins[Aliment],0))="s1",IF($BX115=Spécificité1Caprins,1)),
INDEX(Règles_caprins[Specificite],MATCH(ChoixRationCaprins&amp;$BX115,Règles_caprins[Ration]&amp;Règles_caprins[Aliment],0))="c"),
INDEX(Règles_caprins[Valeur 3-6],MATCH(ChoixRationCaprins&amp;$BX115,Règles_caprins[Ration]&amp;Règles_caprins[Aliment],0)),0),0)*chevreau_3_6_mois*NbreJoursNourrirCaprins)</f>
        <v>0</v>
      </c>
      <c r="CB115" s="332">
        <f t="array" ref="CB115">IF(ChoixRationComplèteCaprins=OUI,0,IFERROR(IF(OR(AND(INDEX(Règles_caprins[Specificite],MATCH(ChoixRationCaprins&amp;$BX115,Règles_caprins[Ration]&amp;Règles_caprins[Aliment],0))="s1",IF($BX115=Spécificité1Caprins,1)),
INDEX(Règles_caprins[Specificite],MATCH(ChoixRationCaprins&amp;$BX115,Règles_caprins[Ration]&amp;Règles_caprins[Aliment],0))="c"),
INDEX(Règles_caprins[Valeur 0-3],MATCH(ChoixRationCaprins&amp;$BX115,Règles_caprins[Ration]&amp;Règles_caprins[Aliment],0)),0),0)*chevreau_0_3_mois*NbreJoursNourrirCaprins)</f>
        <v>0</v>
      </c>
      <c r="CC115" s="332">
        <f t="shared" si="9"/>
        <v>0</v>
      </c>
      <c r="CH115" s="276"/>
    </row>
    <row r="116" spans="1:86" ht="12.75" customHeight="1" x14ac:dyDescent="0.2">
      <c r="A116" s="363" t="s">
        <v>331</v>
      </c>
      <c r="B116" s="362">
        <f t="shared" si="8"/>
        <v>1E-3</v>
      </c>
      <c r="O116" s="366">
        <v>5000</v>
      </c>
      <c r="BB116" s="369" t="s">
        <v>741</v>
      </c>
      <c r="BC116" s="344" t="s">
        <v>42</v>
      </c>
      <c r="BD116" s="344" t="s">
        <v>713</v>
      </c>
      <c r="BE116" s="370">
        <v>4.8</v>
      </c>
      <c r="BF116" s="370">
        <v>4</v>
      </c>
      <c r="BG116" s="370">
        <v>4</v>
      </c>
      <c r="BH116" s="370">
        <v>4</v>
      </c>
      <c r="BI116" s="370">
        <v>2</v>
      </c>
      <c r="BJ116" s="370">
        <v>1.2</v>
      </c>
      <c r="BK116" s="371">
        <v>0</v>
      </c>
      <c r="BL116" s="305"/>
      <c r="BM116" s="332" t="str">
        <f t="shared" si="10"/>
        <v>Blé</v>
      </c>
      <c r="BN116" s="333">
        <f t="array" ref="BN116">SUM((IF(QualitéAlimentsBisonneauxMâles_0_3_mois=BONNE,VLOOKUP("Blé",AlimentsRationHivernaleBisonsMâles,8,FALSE),0)+(IF(QualitéAlimentsBisonneauxFemelles_0_3_mois=BONNE,VLOOKUP("Blé",AlimentsRationHivernaleBisonsFemelles,8,FALSE),0)+(IF(QualitéAlimentsBisonneauxMâles_3_6_mois=BONNE,VLOOKUP("Blé",AlimentsRationHivernaleBisonsMâles,7,FALSE),0)+(IF(QualitéAlimentsBisonneauxFemelles_3_6_mois=BONNE,VLOOKUP("Blé",AlimentsRationHivernaleBisonsFemelles,7,FALSE),0)+(IF(QualitéAlimentsBisonneauxMâles_6_12_mois=BONNE,VLOOKUP("Blé",AlimentsRationHivernaleBisonsMâles,6,FALSE),0)+(IF(QualitéAlimentsBisonneauxFemelles_6_12_mois=BONNE,VLOOKUP("Blé",AlimentsRationHivernaleBisonsFemelles,6,FALSE),0)+(IF(QualitéAlimentsJeunesBisons_12_18_mois=BONNE,VLOOKUP("Blé",AlimentsRationHivernaleBisonsMâles,5,FALSE),0)+(IF(QualitéAlimentsJeunesBisonnes_12_18_mois=BONNE,VLOOKUP("Blé",AlimentsRationHivernaleBisonsFemelles,5,FALSE),0)+(IF(QualitéAlimentsJeunesBisons_18_24_mois=BONNE,VLOOKUP("Blé",AlimentsRationHivernaleBisonsMâles,4,FALSE),0)+(IF(QualitéAlimentsJeunesBisonnes_18_24_mois=BONNE,VLOOKUP("Blé",AlimentsRationHivernaleBisonsFemelles,4,FALSE),0)+(IF(QualitéAlimentsJeunesBisons_24_36_mois=BONNE,VLOOKUP("Blé",AlimentsRationHivernaleBisonsMâles,3,FALSE),0)+(IF(QualitéAlimentsJeunesBisonnes_24_36_mois=BONNE,VLOOKUP("Blé",AlimentsRationHivernaleBisonsFemelles,3,FALSE),0)+(IF(QualitéAlimentsBisons=BONNE,VLOOKUP("Blé",AlimentsRationHivernaleBisonsMâles,2,FALSE),0)+(IF(QualitéAlimentsBisonnes=BONNE,VLOOKUP("Blé",AlimentsRationHivernaleBisonsFemelles,2,FALSE),0))))))))))))))))</f>
        <v>0</v>
      </c>
      <c r="BO116" s="333">
        <f t="array" ref="BO116">SUM((IF(QualitéAlimentsBisonneauxMâles_0_3_mois=MOYENNE,VLOOKUP("Blé",AlimentsRationHivernaleBisonsMâles,8,FALSE),0)+(IF(QualitéAlimentsBisonneauxFemelles_0_3_mois=MOYENNE,VLOOKUP("Blé",AlimentsRationHivernaleBisonsFemelles,8,FALSE),0)+(IF(QualitéAlimentsBisonneauxMâles_3_6_mois=MOYENNE,VLOOKUP("Blé",AlimentsRationHivernaleBisonsMâles,7,FALSE),0)+(IF(QualitéAlimentsBisonneauxFemelles_3_6_mois=MOYENNE,VLOOKUP("Blé",AlimentsRationHivernaleBisonsFemelles,7,FALSE),0)+(IF(QualitéAlimentsBisonneauxMâles_6_12_mois=MOYENNE,VLOOKUP("Blé",AlimentsRationHivernaleBisonsMâles,6,FALSE),0)+(IF(QualitéAlimentsBisonneauxFemelles_6_12_mois=MOYENNE,VLOOKUP("Blé",AlimentsRationHivernaleBisonsFemelles,6,FALSE),0)+(IF(QualitéAlimentsJeunesBisons_12_18_mois=MOYENNE,VLOOKUP("Blé",AlimentsRationHivernaleBisonsMâles,5,FALSE),0)+(IF(QualitéAlimentsJeunesBisonnes_12_18_mois=MOYENNE,VLOOKUP("Blé",AlimentsRationHivernaleBisonsFemelles,5,FALSE),0)+(IF(QualitéAlimentsJeunesBisons_18_24_mois=MOYENNE,VLOOKUP("Blé",AlimentsRationHivernaleBisonsMâles,4,FALSE),0)+(IF(QualitéAlimentsJeunesBisonnes_18_24_mois=MOYENNE,VLOOKUP("Blé",AlimentsRationHivernaleBisonsFemelles,4,FALSE),0)+(IF(QualitéAlimentsJeunesBisons_24_36_mois=MOYENNE,VLOOKUP("Blé",AlimentsRationHivernaleBisonsMâles,3,FALSE),0)+(IF(QualitéAlimentsJeunesBisonnes_24_36_mois=MOYENNE,VLOOKUP("Blé",AlimentsRationHivernaleBisonsFemelles,3,FALSE),0)+(IF(QualitéAlimentsBisons=MOYENNE,VLOOKUP("Blé",AlimentsRationHivernaleBisonsMâles,2,FALSE),0)+(IF(QualitéAlimentsBisonnes=MOYENNE,VLOOKUP("Blé",AlimentsRationHivernaleBisonsFemelles,2,FALSE),0))))))))))))))))</f>
        <v>0</v>
      </c>
      <c r="BP116" s="333">
        <f t="array" ref="BP116">SUM((IF(QualitéAlimentsBisonneauxMâles_0_3_mois=MAUVAISE,VLOOKUP("Blé",AlimentsRationHivernaleBisonsMâles,8,FALSE),0)+(IF(QualitéAlimentsBisonneauxFemelles_0_3_mois=MAUVAISE,VLOOKUP("Blé",AlimentsRationHivernaleBisonsFemelles,8,FALSE),0)+(IF(QualitéAlimentsBisonneauxMâles_3_6_mois=MAUVAISE,VLOOKUP("Blé",AlimentsRationHivernaleBisonsMâles,7,FALSE),0)+(IF(QualitéAlimentsBisonneauxFemelles_3_6_mois=MAUVAISE,VLOOKUP("Blé",AlimentsRationHivernaleBisonsFemelles,7,FALSE),0)+(IF(QualitéAlimentsBisonneauxMâles_6_12_mois=MAUVAISE,VLOOKUP("Blé",AlimentsRationHivernaleBisonsMâles,6,FALSE),0)+(IF(QualitéAlimentsBisonneauxFemelles_6_12_mois=MAUVAISE,VLOOKUP("Blé",AlimentsRationHivernaleBisonsFemelles,6,FALSE),0)+(IF(QualitéAlimentsJeunesBisons_12_18_mois=MAUVAISE,VLOOKUP("Blé",AlimentsRationHivernaleBisonsMâles,5,FALSE),0)+(IF(QualitéAlimentsJeunesBisonnes_12_18_mois=MAUVAISE,VLOOKUP("Blé",AlimentsRationHivernaleBisonsFemelles,5,FALSE),0)+(IF(QualitéAlimentsJeunesBisons_18_24_mois=MAUVAISE,VLOOKUP("Blé",AlimentsRationHivernaleBisonsMâles,4,FALSE),0)+(IF(QualitéAlimentsJeunesBisonnes_18_24_mois=MAUVAISE,VLOOKUP("Blé",AlimentsRationHivernaleBisonsFemelles,4,FALSE),0)+(IF(QualitéAlimentsJeunesBisons_24_36_mois=MAUVAISE,VLOOKUP("Blé",AlimentsRationHivernaleBisonsMâles,3,FALSE),0)+(IF(QualitéAlimentsJeunesBisonnes_24_36_mois=MAUVAISE,VLOOKUP("Blé",AlimentsRationHivernaleBisonsFemelles,3,FALSE),0)+(IF(QualitéAlimentsBisons=MAUVAISE,VLOOKUP("Blé",AlimentsRationHivernaleBisonsMâles,2,FALSE),0)+(IF(QualitéAlimentsBisonnes=MAUVAISE,VLOOKUP("Blé",AlimentsRationHivernaleBisonsFemelles,2,FALSE),0))))))))))))))))</f>
        <v>0</v>
      </c>
      <c r="BQ116" s="282"/>
      <c r="BR116" s="282"/>
      <c r="BS116" s="282"/>
      <c r="BT116" s="282"/>
      <c r="BU116" s="282"/>
      <c r="BX116" s="332" t="s">
        <v>439</v>
      </c>
      <c r="BY116" s="332">
        <f t="array" ref="BY116">IF(ChoixRationComplèteCaprins=OUI,0,IFERROR(IF(OR(AND(INDEX(Règles_caprins[Specificite],MATCH(ChoixRationCaprins&amp;$BX116,Règles_caprins[Ration]&amp;Règles_caprins[Aliment],0))="s1",IF($BX116=Spécificité1Caprins,1)),
INDEX(Règles_caprins[Specificite],MATCH(ChoixRationCaprins&amp;$BX116,Règles_caprins[Ration]&amp;Règles_caprins[Aliment],0))="c"),
INDEX(Règles_caprins[Valeur 12 et plus],MATCH(ChoixRationCaprins&amp;$BX116,Règles_caprins[Ration]&amp;Règles_caprins[Aliment],0)),0),0)*TotalBoucs*NbreJoursNourrirCaprins)</f>
        <v>0</v>
      </c>
      <c r="BZ116" s="332">
        <f t="array" ref="BZ116">IF(ChoixRationComplèteCaprins=OUI,0,IFERROR(IF(OR(AND(INDEX(Règles_caprins[Specificite],MATCH(ChoixRationCaprins&amp;$BX116,Règles_caprins[Ration]&amp;Règles_caprins[Aliment],0))="s1",IF($BX116=Spécificité1Caprins,1)),
INDEX(Règles_caprins[Specificite],MATCH(ChoixRationCaprins&amp;$BX116,Règles_caprins[Ration]&amp;Règles_caprins[Aliment],0))="c"),
INDEX(Règles_caprins[Valeur 6-12],MATCH(ChoixRationCaprins&amp;$BX116,Règles_caprins[Ration]&amp;Règles_caprins[Aliment],0)),0),0)*jeune_bouc_6_12_mois*NbreJoursNourrirCaprins)</f>
        <v>0</v>
      </c>
      <c r="CA116" s="332">
        <f t="array" ref="CA116">IF(ChoixRationComplèteCaprins=OUI,0,IFERROR(IF(OR(AND(INDEX(Règles_caprins[Specificite],MATCH(ChoixRationCaprins&amp;$BX116,Règles_caprins[Ration]&amp;Règles_caprins[Aliment],0))="s1",IF($BX116=Spécificité1Caprins,1)),
INDEX(Règles_caprins[Specificite],MATCH(ChoixRationCaprins&amp;$BX116,Règles_caprins[Ration]&amp;Règles_caprins[Aliment],0))="c"),
INDEX(Règles_caprins[Valeur 3-6],MATCH(ChoixRationCaprins&amp;$BX116,Règles_caprins[Ration]&amp;Règles_caprins[Aliment],0)),0),0)*chevreau_3_6_mois*NbreJoursNourrirCaprins)</f>
        <v>0</v>
      </c>
      <c r="CB116" s="332">
        <f t="array" ref="CB116">IF(ChoixRationComplèteCaprins=OUI,0,IFERROR(IF(OR(AND(INDEX(Règles_caprins[Specificite],MATCH(ChoixRationCaprins&amp;$BX116,Règles_caprins[Ration]&amp;Règles_caprins[Aliment],0))="s1",IF($BX116=Spécificité1Caprins,1)),
INDEX(Règles_caprins[Specificite],MATCH(ChoixRationCaprins&amp;$BX116,Règles_caprins[Ration]&amp;Règles_caprins[Aliment],0))="c"),
INDEX(Règles_caprins[Valeur 0-3],MATCH(ChoixRationCaprins&amp;$BX116,Règles_caprins[Ration]&amp;Règles_caprins[Aliment],0)),0),0)*chevreau_0_3_mois*NbreJoursNourrirCaprins)</f>
        <v>0</v>
      </c>
      <c r="CC116" s="332">
        <f t="shared" si="9"/>
        <v>0</v>
      </c>
      <c r="CH116" s="276"/>
    </row>
    <row r="117" spans="1:86" ht="12.75" customHeight="1" x14ac:dyDescent="0.2">
      <c r="A117" s="363" t="s">
        <v>332</v>
      </c>
      <c r="B117" s="362">
        <f t="shared" si="8"/>
        <v>1E-3</v>
      </c>
      <c r="O117" s="366">
        <v>6000</v>
      </c>
      <c r="BB117" s="369" t="s">
        <v>741</v>
      </c>
      <c r="BC117" s="344" t="s">
        <v>730</v>
      </c>
      <c r="BD117" s="344" t="s">
        <v>711</v>
      </c>
      <c r="BE117" s="370">
        <v>1</v>
      </c>
      <c r="BF117" s="370">
        <v>0.8</v>
      </c>
      <c r="BG117" s="370">
        <v>0.6</v>
      </c>
      <c r="BH117" s="370">
        <v>0.4</v>
      </c>
      <c r="BI117" s="370">
        <v>0.4</v>
      </c>
      <c r="BJ117" s="370">
        <v>0.4</v>
      </c>
      <c r="BK117" s="371">
        <v>0</v>
      </c>
      <c r="BL117" s="305"/>
      <c r="BM117" s="332" t="str">
        <f t="shared" si="10"/>
        <v>Bouchons luzerne</v>
      </c>
      <c r="BN117" s="333">
        <f t="array" ref="BN117">SUM((IF(QualitéAlimentsBisonneauxMâles_0_3_mois=BONNE,VLOOKUP("Bouchons luzerne",AlimentsRationHivernaleBisonsMâles,8,FALSE),0)+(IF(QualitéAlimentsBisonneauxFemelles_0_3_mois=BONNE,VLOOKUP("Bouchons luzerne",AlimentsRationHivernaleBisonsFemelles,8,FALSE),0)+(IF(QualitéAlimentsBisonneauxMâles_3_6_mois=BONNE,VLOOKUP("Bouchons luzerne",AlimentsRationHivernaleBisonsMâles,7,FALSE),0)+(IF(QualitéAlimentsBisonneauxFemelles_3_6_mois=BONNE,VLOOKUP("Bouchons luzerne",AlimentsRationHivernaleBisonsFemelles,7,FALSE),0)+(IF(QualitéAlimentsBisonneauxMâles_6_12_mois=BONNE,VLOOKUP("Bouchons luzerne",AlimentsRationHivernaleBisonsMâles,6,FALSE),0)+(IF(QualitéAlimentsBisonneauxFemelles_6_12_mois=BONNE,VLOOKUP("Bouchons luzerne",AlimentsRationHivernaleBisonsFemelles,6,FALSE),0)+(IF(QualitéAlimentsJeunesBisons_12_18_mois=BONNE,VLOOKUP("Bouchons luzerne",AlimentsRationHivernaleBisonsMâles,5,FALSE),0)+(IF(QualitéAlimentsJeunesBisonnes_12_18_mois=BONNE,VLOOKUP("Bouchons luzerne",AlimentsRationHivernaleBisonsFemelles,5,FALSE),0)+(IF(QualitéAlimentsJeunesBisons_18_24_mois=BONNE,VLOOKUP("Bouchons luzerne",AlimentsRationHivernaleBisonsMâles,4,FALSE),0)+(IF(QualitéAlimentsJeunesBisonnes_18_24_mois=BONNE,VLOOKUP("Bouchons luzerne",AlimentsRationHivernaleBisonsFemelles,4,FALSE),0)+(IF(QualitéAlimentsJeunesBisons_24_36_mois=BONNE,VLOOKUP("Bouchons luzerne",AlimentsRationHivernaleBisonsMâles,3,FALSE),0)+(IF(QualitéAlimentsJeunesBisonnes_24_36_mois=BONNE,VLOOKUP("Bouchons luzerne",AlimentsRationHivernaleBisonsFemelles,3,FALSE),0)+(IF(QualitéAlimentsBisons=BONNE,VLOOKUP("Bouchons luzerne",AlimentsRationHivernaleBisonsMâles,2,FALSE),0)+(IF(QualitéAlimentsBisonnes=BONNE,VLOOKUP("Bouchons luzerne",AlimentsRationHivernaleBisonsFemelles,2,FALSE),0))))))))))))))))</f>
        <v>0</v>
      </c>
      <c r="BO117" s="333">
        <f t="array" ref="BO117">SUM((IF(QualitéAlimentsBisonneauxMâles_0_3_mois=MOYENNE,VLOOKUP("Bouchons luzerne",AlimentsRationHivernaleBisonsMâles,8,FALSE),0)+(IF(QualitéAlimentsBisonneauxFemelles_0_3_mois=MOYENNE,VLOOKUP("Bouchons luzerne",AlimentsRationHivernaleBisonsFemelles,8,FALSE),0)+(IF(QualitéAlimentsBisonneauxMâles_3_6_mois=MOYENNE,VLOOKUP("Bouchons luzerne",AlimentsRationHivernaleBisonsMâles,7,FALSE),0)+(IF(QualitéAlimentsBisonneauxFemelles_3_6_mois=MOYENNE,VLOOKUP("Bouchons luzerne",AlimentsRationHivernaleBisonsFemelles,7,FALSE),0)+(IF(QualitéAlimentsBisonneauxMâles_6_12_mois=MOYENNE,VLOOKUP("Bouchons luzerne",AlimentsRationHivernaleBisonsMâles,6,FALSE),0)+(IF(QualitéAlimentsBisonneauxFemelles_6_12_mois=MOYENNE,VLOOKUP("Bouchons luzerne",AlimentsRationHivernaleBisonsFemelles,6,FALSE),0)+(IF(QualitéAlimentsJeunesBisons_12_18_mois=MOYENNE,VLOOKUP("Bouchons luzerne",AlimentsRationHivernaleBisonsMâles,5,FALSE),0)+(IF(QualitéAlimentsJeunesBisonnes_12_18_mois=MOYENNE,VLOOKUP("Bouchons luzerne",AlimentsRationHivernaleBisonsFemelles,5,FALSE),0)+(IF(QualitéAlimentsJeunesBisons_18_24_mois=MOYENNE,VLOOKUP("Bouchons luzerne",AlimentsRationHivernaleBisonsMâles,4,FALSE),0)+(IF(QualitéAlimentsJeunesBisonnes_18_24_mois=MOYENNE,VLOOKUP("Bouchons luzerne",AlimentsRationHivernaleBisonsFemelles,4,FALSE),0)+(IF(QualitéAlimentsJeunesBisons_24_36_mois=MOYENNE,VLOOKUP("Bouchons luzerne",AlimentsRationHivernaleBisonsMâles,3,FALSE),0)+(IF(QualitéAlimentsJeunesBisonnes_24_36_mois=MOYENNE,VLOOKUP("Bouchons luzerne",AlimentsRationHivernaleBisonsFemelles,3,FALSE),0)+(IF(QualitéAlimentsBisons=MOYENNE,VLOOKUP("Bouchons luzerne",AlimentsRationHivernaleBisonsMâles,2,FALSE),0)+(IF(QualitéAlimentsBisonnes=MOYENNE,VLOOKUP("Bouchons luzerne",AlimentsRationHivernaleBisonsFemelles,2,FALSE),0))))))))))))))))</f>
        <v>0</v>
      </c>
      <c r="BP117" s="333">
        <f t="array" ref="BP117">SUM((IF(QualitéAlimentsBisonneauxMâles_0_3_mois=MAUVAISE,VLOOKUP("Bouchons luzerne",AlimentsRationHivernaleBisonsMâles,8,FALSE),0)+(IF(QualitéAlimentsBisonneauxFemelles_0_3_mois=MAUVAISE,VLOOKUP("Bouchons luzerne",AlimentsRationHivernaleBisonsFemelles,8,FALSE),0)+(IF(QualitéAlimentsBisonneauxMâles_3_6_mois=MAUVAISE,VLOOKUP("Bouchons luzerne",AlimentsRationHivernaleBisonsMâles,7,FALSE),0)+(IF(QualitéAlimentsBisonneauxFemelles_3_6_mois=MAUVAISE,VLOOKUP("Bouchons luzerne",AlimentsRationHivernaleBisonsFemelles,7,FALSE),0)+(IF(QualitéAlimentsBisonneauxMâles_6_12_mois=MAUVAISE,VLOOKUP("Bouchons luzerne",AlimentsRationHivernaleBisonsMâles,6,FALSE),0)+(IF(QualitéAlimentsBisonneauxFemelles_6_12_mois=MAUVAISE,VLOOKUP("Bouchons luzerne",AlimentsRationHivernaleBisonsFemelles,6,FALSE),0)+(IF(QualitéAlimentsJeunesBisons_12_18_mois=MAUVAISE,VLOOKUP("Bouchons luzerne",AlimentsRationHivernaleBisonsMâles,5,FALSE),0)+(IF(QualitéAlimentsJeunesBisonnes_12_18_mois=MAUVAISE,VLOOKUP("Bouchons luzerne",AlimentsRationHivernaleBisonsFemelles,5,FALSE),0)+(IF(QualitéAlimentsJeunesBisons_18_24_mois=MAUVAISE,VLOOKUP("Bouchons luzerne",AlimentsRationHivernaleBisonsMâles,4,FALSE),0)+(IF(QualitéAlimentsJeunesBisonnes_18_24_mois=MAUVAISE,VLOOKUP("Bouchons luzerne",AlimentsRationHivernaleBisonsFemelles,4,FALSE),0)+(IF(QualitéAlimentsJeunesBisons_24_36_mois=MAUVAISE,VLOOKUP("Bouchons luzerne",AlimentsRationHivernaleBisonsMâles,3,FALSE),0)+(IF(QualitéAlimentsJeunesBisonnes_24_36_mois=MAUVAISE,VLOOKUP("Bouchons luzerne",AlimentsRationHivernaleBisonsFemelles,3,FALSE),0)+(IF(QualitéAlimentsBisons=MAUVAISE,VLOOKUP("Bouchons luzerne",AlimentsRationHivernaleBisonsMâles,2,FALSE),0)+(IF(QualitéAlimentsBisonnes=MAUVAISE,VLOOKUP("Bouchons luzerne",AlimentsRationHivernaleBisonsFemelles,2,FALSE),0))))))))))))))))</f>
        <v>0</v>
      </c>
      <c r="BQ117" s="282"/>
      <c r="BR117" s="282"/>
      <c r="BS117" s="282"/>
      <c r="BT117" s="282"/>
      <c r="BU117" s="282"/>
      <c r="BX117" s="332" t="s">
        <v>444</v>
      </c>
      <c r="BY117" s="332">
        <f t="array" ref="BY117">IF(ChoixRationComplèteCaprins=OUI,0,IFERROR(IF(OR(AND(INDEX(Règles_caprins[Specificite],MATCH(ChoixRationCaprins&amp;$BX117,Règles_caprins[Ration]&amp;Règles_caprins[Aliment],0))="s1",IF($BX117=Spécificité1Caprins,1)),
INDEX(Règles_caprins[Specificite],MATCH(ChoixRationCaprins&amp;$BX117,Règles_caprins[Ration]&amp;Règles_caprins[Aliment],0))="c"),
INDEX(Règles_caprins[Valeur 12 et plus],MATCH(ChoixRationCaprins&amp;$BX117,Règles_caprins[Ration]&amp;Règles_caprins[Aliment],0)),0),0)*TotalBoucs*NbreJoursNourrirCaprins)</f>
        <v>0</v>
      </c>
      <c r="BZ117" s="332">
        <f t="array" ref="BZ117">IF(ChoixRationComplèteCaprins=OUI,0,IFERROR(IF(OR(AND(INDEX(Règles_caprins[Specificite],MATCH(ChoixRationCaprins&amp;$BX117,Règles_caprins[Ration]&amp;Règles_caprins[Aliment],0))="s1",IF($BX117=Spécificité1Caprins,1)),
INDEX(Règles_caprins[Specificite],MATCH(ChoixRationCaprins&amp;$BX117,Règles_caprins[Ration]&amp;Règles_caprins[Aliment],0))="c"),
INDEX(Règles_caprins[Valeur 6-12],MATCH(ChoixRationCaprins&amp;$BX117,Règles_caprins[Ration]&amp;Règles_caprins[Aliment],0)),0),0)*jeune_bouc_6_12_mois*NbreJoursNourrirCaprins)</f>
        <v>0</v>
      </c>
      <c r="CA117" s="332">
        <f t="array" ref="CA117">IF(ChoixRationComplèteCaprins=OUI,0,IFERROR(IF(OR(AND(INDEX(Règles_caprins[Specificite],MATCH(ChoixRationCaprins&amp;$BX117,Règles_caprins[Ration]&amp;Règles_caprins[Aliment],0))="s1",IF($BX117=Spécificité1Caprins,1)),
INDEX(Règles_caprins[Specificite],MATCH(ChoixRationCaprins&amp;$BX117,Règles_caprins[Ration]&amp;Règles_caprins[Aliment],0))="c"),
INDEX(Règles_caprins[Valeur 3-6],MATCH(ChoixRationCaprins&amp;$BX117,Règles_caprins[Ration]&amp;Règles_caprins[Aliment],0)),0),0)*chevreau_3_6_mois*NbreJoursNourrirCaprins)</f>
        <v>0</v>
      </c>
      <c r="CB117" s="332">
        <f t="array" ref="CB117">IF(ChoixRationComplèteCaprins=OUI,0,IFERROR(IF(OR(AND(INDEX(Règles_caprins[Specificite],MATCH(ChoixRationCaprins&amp;$BX117,Règles_caprins[Ration]&amp;Règles_caprins[Aliment],0))="s1",IF($BX117=Spécificité1Caprins,1)),
INDEX(Règles_caprins[Specificite],MATCH(ChoixRationCaprins&amp;$BX117,Règles_caprins[Ration]&amp;Règles_caprins[Aliment],0))="c"),
INDEX(Règles_caprins[Valeur 0-3],MATCH(ChoixRationCaprins&amp;$BX117,Règles_caprins[Ration]&amp;Règles_caprins[Aliment],0)),0),0)*chevreau_0_3_mois*NbreJoursNourrirCaprins)</f>
        <v>0</v>
      </c>
      <c r="CC117" s="332">
        <f t="shared" si="9"/>
        <v>0</v>
      </c>
      <c r="CH117" s="276"/>
    </row>
    <row r="118" spans="1:86" ht="12.75" customHeight="1" x14ac:dyDescent="0.2">
      <c r="A118" s="363" t="s">
        <v>333</v>
      </c>
      <c r="B118" s="362">
        <f t="shared" si="8"/>
        <v>1E-3</v>
      </c>
      <c r="F118" s="283" t="s">
        <v>656</v>
      </c>
      <c r="O118" s="366">
        <v>7000</v>
      </c>
      <c r="BB118" s="369" t="s">
        <v>741</v>
      </c>
      <c r="BC118" s="344" t="s">
        <v>882</v>
      </c>
      <c r="BD118" s="344" t="s">
        <v>711</v>
      </c>
      <c r="BE118" s="370">
        <v>0</v>
      </c>
      <c r="BF118" s="370">
        <v>0</v>
      </c>
      <c r="BG118" s="370">
        <v>0</v>
      </c>
      <c r="BH118" s="370">
        <v>0</v>
      </c>
      <c r="BI118" s="370">
        <v>0</v>
      </c>
      <c r="BJ118" s="370">
        <v>0</v>
      </c>
      <c r="BK118" s="371">
        <v>8</v>
      </c>
      <c r="BL118" s="305"/>
      <c r="BM118" s="332" t="str">
        <f t="shared" si="10"/>
        <v>Chanvre</v>
      </c>
      <c r="BN118" s="333">
        <f t="array" ref="BN118">SUM((IF(QualitéAlimentsBisonneauxMâles_0_3_mois=BONNE,VLOOKUP("Chanvre",AlimentsRationHivernaleBisonsMâles,8,FALSE),0)+(IF(QualitéAlimentsBisonneauxFemelles_0_3_mois=BONNE,VLOOKUP("Chanvre",AlimentsRationHivernaleBisonsFemelles,8,FALSE),0)+(IF(QualitéAlimentsBisonneauxMâles_3_6_mois=BONNE,VLOOKUP("Chanvre",AlimentsRationHivernaleBisonsMâles,7,FALSE),0)+(IF(QualitéAlimentsBisonneauxFemelles_3_6_mois=BONNE,VLOOKUP("Chanvre",AlimentsRationHivernaleBisonsFemelles,7,FALSE),0)+(IF(QualitéAlimentsBisonneauxMâles_6_12_mois=BONNE,VLOOKUP("Chanvre",AlimentsRationHivernaleBisonsMâles,6,FALSE),0)+(IF(QualitéAlimentsBisonneauxFemelles_6_12_mois=BONNE,VLOOKUP("Chanvre",AlimentsRationHivernaleBisonsFemelles,6,FALSE),0)+(IF(QualitéAlimentsJeunesBisons_12_18_mois=BONNE,VLOOKUP("Chanvre",AlimentsRationHivernaleBisonsMâles,5,FALSE),0)+(IF(QualitéAlimentsJeunesBisonnes_12_18_mois=BONNE,VLOOKUP("Chanvre",AlimentsRationHivernaleBisonsFemelles,5,FALSE),0)+(IF(QualitéAlimentsJeunesBisons_18_24_mois=BONNE,VLOOKUP("Chanvre",AlimentsRationHivernaleBisonsMâles,4,FALSE),0)+(IF(QualitéAlimentsJeunesBisonnes_18_24_mois=BONNE,VLOOKUP("Chanvre",AlimentsRationHivernaleBisonsFemelles,4,FALSE),0)+(IF(QualitéAlimentsJeunesBisons_24_36_mois=BONNE,VLOOKUP("Chanvre",AlimentsRationHivernaleBisonsMâles,3,FALSE),0)+(IF(QualitéAlimentsJeunesBisonnes_24_36_mois=BONNE,VLOOKUP("Chanvre",AlimentsRationHivernaleBisonsFemelles,3,FALSE),0)+(IF(QualitéAlimentsBisons=BONNE,VLOOKUP("Chanvre",AlimentsRationHivernaleBisonsMâles,2,FALSE),0)+(IF(QualitéAlimentsBisonnes=BONNE,VLOOKUP("Chanvre",AlimentsRationHivernaleBisonsFemelles,2,FALSE),0))))))))))))))))</f>
        <v>0</v>
      </c>
      <c r="BO118" s="333">
        <f t="array" ref="BO118">SUM((IF(QualitéAlimentsBisonneauxMâles_0_3_mois=MOYENNE,VLOOKUP("Chanvre",AlimentsRationHivernaleBisonsMâles,8,FALSE),0)+(IF(QualitéAlimentsBisonneauxFemelles_0_3_mois=MOYENNE,VLOOKUP("Chanvre",AlimentsRationHivernaleBisonsFemelles,8,FALSE),0)+(IF(QualitéAlimentsBisonneauxMâles_3_6_mois=MOYENNE,VLOOKUP("Chanvre",AlimentsRationHivernaleBisonsMâles,7,FALSE),0)+(IF(QualitéAlimentsBisonneauxFemelles_3_6_mois=MOYENNE,VLOOKUP("Chanvre",AlimentsRationHivernaleBisonsFemelles,7,FALSE),0)+(IF(QualitéAlimentsBisonneauxMâles_6_12_mois=MOYENNE,VLOOKUP("Chanvre",AlimentsRationHivernaleBisonsMâles,6,FALSE),0)+(IF(QualitéAlimentsBisonneauxFemelles_6_12_mois=MOYENNE,VLOOKUP("Chanvre",AlimentsRationHivernaleBisonsFemelles,6,FALSE),0)+(IF(QualitéAlimentsJeunesBisons_12_18_mois=MOYENNE,VLOOKUP("Chanvre",AlimentsRationHivernaleBisonsMâles,5,FALSE),0)+(IF(QualitéAlimentsJeunesBisonnes_12_18_mois=MOYENNE,VLOOKUP("Chanvre",AlimentsRationHivernaleBisonsFemelles,5,FALSE),0)+(IF(QualitéAlimentsJeunesBisons_18_24_mois=MOYENNE,VLOOKUP("Chanvre",AlimentsRationHivernaleBisonsMâles,4,FALSE),0)+(IF(QualitéAlimentsJeunesBisonnes_18_24_mois=MOYENNE,VLOOKUP("Chanvre",AlimentsRationHivernaleBisonsFemelles,4,FALSE),0)+(IF(QualitéAlimentsJeunesBisons_24_36_mois=MOYENNE,VLOOKUP("Chanvre",AlimentsRationHivernaleBisonsMâles,3,FALSE),0)+(IF(QualitéAlimentsJeunesBisonnes_24_36_mois=MOYENNE,VLOOKUP("Chanvre",AlimentsRationHivernaleBisonsFemelles,3,FALSE),0)+(IF(QualitéAlimentsBisons=MOYENNE,VLOOKUP("Chanvre",AlimentsRationHivernaleBisonsMâles,2,FALSE),0)+(IF(QualitéAlimentsBisonnes=MOYENNE,VLOOKUP("Chanvre",AlimentsRationHivernaleBisonsFemelles,2,FALSE),0))))))))))))))))</f>
        <v>0</v>
      </c>
      <c r="BP118" s="333">
        <f t="array" ref="BP118">SUM((IF(QualitéAlimentsBisonneauxMâles_0_3_mois=MAUVAISE,VLOOKUP("Chanvre",AlimentsRationHivernaleBisonsMâles,8,FALSE),0)+(IF(QualitéAlimentsBisonneauxFemelles_0_3_mois=MAUVAISE,VLOOKUP("Chanvre",AlimentsRationHivernaleBisonsFemelles,8,FALSE),0)+(IF(QualitéAlimentsBisonneauxMâles_3_6_mois=MAUVAISE,VLOOKUP("Chanvre",AlimentsRationHivernaleBisonsMâles,7,FALSE),0)+(IF(QualitéAlimentsBisonneauxFemelles_3_6_mois=MAUVAISE,VLOOKUP("Chanvre",AlimentsRationHivernaleBisonsFemelles,7,FALSE),0)+(IF(QualitéAlimentsBisonneauxMâles_6_12_mois=MAUVAISE,VLOOKUP("Chanvre",AlimentsRationHivernaleBisonsMâles,6,FALSE),0)+(IF(QualitéAlimentsBisonneauxFemelles_6_12_mois=MAUVAISE,VLOOKUP("Chanvre",AlimentsRationHivernaleBisonsFemelles,6,FALSE),0)+(IF(QualitéAlimentsJeunesBisons_12_18_mois=MAUVAISE,VLOOKUP("Chanvre",AlimentsRationHivernaleBisonsMâles,5,FALSE),0)+(IF(QualitéAlimentsJeunesBisonnes_12_18_mois=MAUVAISE,VLOOKUP("Chanvre",AlimentsRationHivernaleBisonsFemelles,5,FALSE),0)+(IF(QualitéAlimentsJeunesBisons_18_24_mois=MAUVAISE,VLOOKUP("Chanvre",AlimentsRationHivernaleBisonsMâles,4,FALSE),0)+(IF(QualitéAlimentsJeunesBisonnes_18_24_mois=MAUVAISE,VLOOKUP("Chanvre",AlimentsRationHivernaleBisonsFemelles,4,FALSE),0)+(IF(QualitéAlimentsJeunesBisons_24_36_mois=MAUVAISE,VLOOKUP("Chanvre",AlimentsRationHivernaleBisonsMâles,3,FALSE),0)+(IF(QualitéAlimentsJeunesBisonnes_24_36_mois=MAUVAISE,VLOOKUP("Chanvre",AlimentsRationHivernaleBisonsFemelles,3,FALSE),0)+(IF(QualitéAlimentsBisons=MAUVAISE,VLOOKUP("Chanvre",AlimentsRationHivernaleBisonsMâles,2,FALSE),0)+(IF(QualitéAlimentsBisonnes=MAUVAISE,VLOOKUP("Chanvre",AlimentsRationHivernaleBisonsFemelles,2,FALSE),0))))))))))))))))</f>
        <v>0</v>
      </c>
      <c r="BQ118" s="282"/>
      <c r="BR118" s="282"/>
      <c r="BS118" s="282"/>
      <c r="BT118" s="282"/>
      <c r="BU118" s="282"/>
      <c r="BX118" s="332" t="s">
        <v>186</v>
      </c>
      <c r="BY118" s="332">
        <f t="array" ref="BY118">IF(ChoixRationComplèteCaprins=OUI,0,IFERROR(IF(OR(AND(INDEX(Règles_caprins[Specificite],MATCH(ChoixRationCaprins&amp;$BX118,Règles_caprins[Ration]&amp;Règles_caprins[Aliment],0))="s1",IF($BX118=Spécificité1Caprins,1)),
INDEX(Règles_caprins[Specificite],MATCH(ChoixRationCaprins&amp;$BX118,Règles_caprins[Ration]&amp;Règles_caprins[Aliment],0))="c"),
INDEX(Règles_caprins[Valeur 12 et plus],MATCH(ChoixRationCaprins&amp;$BX118,Règles_caprins[Ration]&amp;Règles_caprins[Aliment],0)),0),0)*TotalBoucs*NbreJoursNourrirCaprins)</f>
        <v>0</v>
      </c>
      <c r="BZ118" s="332">
        <f t="array" ref="BZ118">IF(ChoixRationComplèteCaprins=OUI,0,IFERROR(IF(OR(AND(INDEX(Règles_caprins[Specificite],MATCH(ChoixRationCaprins&amp;$BX118,Règles_caprins[Ration]&amp;Règles_caprins[Aliment],0))="s1",IF($BX118=Spécificité1Caprins,1)),
INDEX(Règles_caprins[Specificite],MATCH(ChoixRationCaprins&amp;$BX118,Règles_caprins[Ration]&amp;Règles_caprins[Aliment],0))="c"),
INDEX(Règles_caprins[Valeur 6-12],MATCH(ChoixRationCaprins&amp;$BX118,Règles_caprins[Ration]&amp;Règles_caprins[Aliment],0)),0),0)*jeune_bouc_6_12_mois*NbreJoursNourrirCaprins)</f>
        <v>0</v>
      </c>
      <c r="CA118" s="332">
        <f t="array" ref="CA118">IF(ChoixRationComplèteCaprins=OUI,0,IFERROR(IF(OR(AND(INDEX(Règles_caprins[Specificite],MATCH(ChoixRationCaprins&amp;$BX118,Règles_caprins[Ration]&amp;Règles_caprins[Aliment],0))="s1",IF($BX118=Spécificité1Caprins,1)),
INDEX(Règles_caprins[Specificite],MATCH(ChoixRationCaprins&amp;$BX118,Règles_caprins[Ration]&amp;Règles_caprins[Aliment],0))="c"),
INDEX(Règles_caprins[Valeur 3-6],MATCH(ChoixRationCaprins&amp;$BX118,Règles_caprins[Ration]&amp;Règles_caprins[Aliment],0)),0),0)*chevreau_3_6_mois*NbreJoursNourrirCaprins)</f>
        <v>0</v>
      </c>
      <c r="CB118" s="332">
        <f t="array" ref="CB118">IF(ChoixRationComplèteCaprins=OUI,0,IFERROR(IF(OR(AND(INDEX(Règles_caprins[Specificite],MATCH(ChoixRationCaprins&amp;$BX118,Règles_caprins[Ration]&amp;Règles_caprins[Aliment],0))="s1",IF($BX118=Spécificité1Caprins,1)),
INDEX(Règles_caprins[Specificite],MATCH(ChoixRationCaprins&amp;$BX118,Règles_caprins[Ration]&amp;Règles_caprins[Aliment],0))="c"),
INDEX(Règles_caprins[Valeur 0-3],MATCH(ChoixRationCaprins&amp;$BX118,Règles_caprins[Ration]&amp;Règles_caprins[Aliment],0)),0),0)*chevreau_0_3_mois*NbreJoursNourrirCaprins)</f>
        <v>0</v>
      </c>
      <c r="CC118" s="332">
        <f t="shared" si="9"/>
        <v>0</v>
      </c>
      <c r="CH118" s="276"/>
    </row>
    <row r="119" spans="1:86" ht="12.75" customHeight="1" x14ac:dyDescent="0.2">
      <c r="A119" s="363" t="s">
        <v>334</v>
      </c>
      <c r="B119" s="362">
        <f t="shared" si="8"/>
        <v>1E-3</v>
      </c>
      <c r="F119" s="280" t="s">
        <v>518</v>
      </c>
      <c r="G119" s="280" t="s">
        <v>506</v>
      </c>
      <c r="H119" s="280" t="s">
        <v>507</v>
      </c>
      <c r="I119" s="280" t="s">
        <v>508</v>
      </c>
      <c r="J119" s="280" t="s">
        <v>509</v>
      </c>
      <c r="K119" s="280" t="s">
        <v>510</v>
      </c>
      <c r="L119" s="280" t="s">
        <v>511</v>
      </c>
      <c r="O119" s="366">
        <v>8000</v>
      </c>
      <c r="BB119" s="369" t="s">
        <v>741</v>
      </c>
      <c r="BC119" s="344" t="s">
        <v>444</v>
      </c>
      <c r="BD119" s="344" t="s">
        <v>711</v>
      </c>
      <c r="BE119" s="370">
        <v>200</v>
      </c>
      <c r="BF119" s="370">
        <v>100</v>
      </c>
      <c r="BG119" s="370">
        <v>80</v>
      </c>
      <c r="BH119" s="370">
        <v>60</v>
      </c>
      <c r="BI119" s="370">
        <v>40</v>
      </c>
      <c r="BJ119" s="370">
        <v>28</v>
      </c>
      <c r="BK119" s="371">
        <v>12</v>
      </c>
      <c r="BL119" s="305"/>
      <c r="BM119" s="332" t="str">
        <f t="shared" si="10"/>
        <v>Canola</v>
      </c>
      <c r="BN119" s="333">
        <f t="array" ref="BN119">SUM((IF(QualitéAlimentsBisonneauxMâles_0_3_mois=BONNE,VLOOKUP("Canola",AlimentsRationHivernaleBisonsMâles,8,FALSE),0)+(IF(QualitéAlimentsBisonneauxFemelles_0_3_mois=BONNE,VLOOKUP("Canola",AlimentsRationHivernaleBisonsFemelles,8,FALSE),0)+(IF(QualitéAlimentsBisonneauxMâles_3_6_mois=BONNE,VLOOKUP("Canola",AlimentsRationHivernaleBisonsMâles,7,FALSE),0)+(IF(QualitéAlimentsBisonneauxFemelles_3_6_mois=BONNE,VLOOKUP("Canola",AlimentsRationHivernaleBisonsFemelles,7,FALSE),0)+(IF(QualitéAlimentsBisonneauxMâles_6_12_mois=BONNE,VLOOKUP("Canola",AlimentsRationHivernaleBisonsMâles,6,FALSE),0)+(IF(QualitéAlimentsBisonneauxFemelles_6_12_mois=BONNE,VLOOKUP("Canola",AlimentsRationHivernaleBisonsFemelles,6,FALSE),0)+(IF(QualitéAlimentsJeunesBisons_12_18_mois=BONNE,VLOOKUP("Canola",AlimentsRationHivernaleBisonsMâles,5,FALSE),0)+(IF(QualitéAlimentsJeunesBisonnes_12_18_mois=BONNE,VLOOKUP("Canola",AlimentsRationHivernaleBisonsFemelles,5,FALSE),0)+(IF(QualitéAlimentsJeunesBisons_18_24_mois=BONNE,VLOOKUP("Canola",AlimentsRationHivernaleBisonsMâles,4,FALSE),0)+(IF(QualitéAlimentsJeunesBisonnes_18_24_mois=BONNE,VLOOKUP("Canola",AlimentsRationHivernaleBisonsFemelles,4,FALSE),0)+(IF(QualitéAlimentsJeunesBisons_24_36_mois=BONNE,VLOOKUP("Canola",AlimentsRationHivernaleBisonsMâles,3,FALSE),0)+(IF(QualitéAlimentsJeunesBisonnes_24_36_mois=BONNE,VLOOKUP("Canola",AlimentsRationHivernaleBisonsFemelles,3,FALSE),0)+(IF(QualitéAlimentsBisons=BONNE,VLOOKUP("Canola",AlimentsRationHivernaleBisonsMâles,2,FALSE),0)+(IF(QualitéAlimentsBisonnes=BONNE,VLOOKUP("Canola",AlimentsRationHivernaleBisonsFemelles,2,FALSE),0))))))))))))))))</f>
        <v>0</v>
      </c>
      <c r="BO119" s="333">
        <f t="array" ref="BO119">SUM((IF(QualitéAlimentsBisonneauxMâles_0_3_mois=MOYENNE,VLOOKUP("Canola",AlimentsRationHivernaleBisonsMâles,8,FALSE),0)+(IF(QualitéAlimentsBisonneauxFemelles_0_3_mois=MOYENNE,VLOOKUP("Canola",AlimentsRationHivernaleBisonsFemelles,8,FALSE),0)+(IF(QualitéAlimentsBisonneauxMâles_3_6_mois=MOYENNE,VLOOKUP("Canola",AlimentsRationHivernaleBisonsMâles,7,FALSE),0)+(IF(QualitéAlimentsBisonneauxFemelles_3_6_mois=MOYENNE,VLOOKUP("Canola",AlimentsRationHivernaleBisonsFemelles,7,FALSE),0)+(IF(QualitéAlimentsBisonneauxMâles_6_12_mois=MOYENNE,VLOOKUP("Canola",AlimentsRationHivernaleBisonsMâles,6,FALSE),0)+(IF(QualitéAlimentsBisonneauxFemelles_6_12_mois=MOYENNE,VLOOKUP("Canola",AlimentsRationHivernaleBisonsFemelles,6,FALSE),0)+(IF(QualitéAlimentsJeunesBisons_12_18_mois=MOYENNE,VLOOKUP("Canola",AlimentsRationHivernaleBisonsMâles,5,FALSE),0)+(IF(QualitéAlimentsJeunesBisonnes_12_18_mois=MOYENNE,VLOOKUP("Canola",AlimentsRationHivernaleBisonsFemelles,5,FALSE),0)+(IF(QualitéAlimentsJeunesBisons_18_24_mois=MOYENNE,VLOOKUP("Canola",AlimentsRationHivernaleBisonsMâles,4,FALSE),0)+(IF(QualitéAlimentsJeunesBisonnes_18_24_mois=MOYENNE,VLOOKUP("Canola",AlimentsRationHivernaleBisonsFemelles,4,FALSE),0)+(IF(QualitéAlimentsJeunesBisons_24_36_mois=MOYENNE,VLOOKUP("Canola",AlimentsRationHivernaleBisonsMâles,3,FALSE),0)+(IF(QualitéAlimentsJeunesBisonnes_24_36_mois=MOYENNE,VLOOKUP("Canola",AlimentsRationHivernaleBisonsFemelles,3,FALSE),0)+(IF(QualitéAlimentsBisons=MOYENNE,VLOOKUP("Canola",AlimentsRationHivernaleBisonsMâles,2,FALSE),0)+(IF(QualitéAlimentsBisonnes=MOYENNE,VLOOKUP("Canola",AlimentsRationHivernaleBisonsFemelles,2,FALSE),0))))))))))))))))</f>
        <v>0</v>
      </c>
      <c r="BP119" s="333">
        <f t="array" ref="BP119">SUM((IF(QualitéAlimentsBisonneauxMâles_0_3_mois=MAUVAISE,VLOOKUP("Canola",AlimentsRationHivernaleBisonsMâles,8,FALSE),0)+(IF(QualitéAlimentsBisonneauxFemelles_0_3_mois=MAUVAISE,VLOOKUP("Canola",AlimentsRationHivernaleBisonsFemelles,8,FALSE),0)+(IF(QualitéAlimentsBisonneauxMâles_3_6_mois=MAUVAISE,VLOOKUP("Canola",AlimentsRationHivernaleBisonsMâles,7,FALSE),0)+(IF(QualitéAlimentsBisonneauxFemelles_3_6_mois=MAUVAISE,VLOOKUP("Canola",AlimentsRationHivernaleBisonsFemelles,7,FALSE),0)+(IF(QualitéAlimentsBisonneauxMâles_6_12_mois=MAUVAISE,VLOOKUP("Canola",AlimentsRationHivernaleBisonsMâles,6,FALSE),0)+(IF(QualitéAlimentsBisonneauxFemelles_6_12_mois=MAUVAISE,VLOOKUP("Canola",AlimentsRationHivernaleBisonsFemelles,6,FALSE),0)+(IF(QualitéAlimentsJeunesBisons_12_18_mois=MAUVAISE,VLOOKUP("Canola",AlimentsRationHivernaleBisonsMâles,5,FALSE),0)+(IF(QualitéAlimentsJeunesBisonnes_12_18_mois=MAUVAISE,VLOOKUP("Canola",AlimentsRationHivernaleBisonsFemelles,5,FALSE),0)+(IF(QualitéAlimentsJeunesBisons_18_24_mois=MAUVAISE,VLOOKUP("Canola",AlimentsRationHivernaleBisonsMâles,4,FALSE),0)+(IF(QualitéAlimentsJeunesBisonnes_18_24_mois=MAUVAISE,VLOOKUP("Canola",AlimentsRationHivernaleBisonsFemelles,4,FALSE),0)+(IF(QualitéAlimentsJeunesBisons_24_36_mois=MAUVAISE,VLOOKUP("Canola",AlimentsRationHivernaleBisonsMâles,3,FALSE),0)+(IF(QualitéAlimentsJeunesBisonnes_24_36_mois=MAUVAISE,VLOOKUP("Canola",AlimentsRationHivernaleBisonsFemelles,3,FALSE),0)+(IF(QualitéAlimentsBisons=MAUVAISE,VLOOKUP("Canola",AlimentsRationHivernaleBisonsMâles,2,FALSE),0)+(IF(QualitéAlimentsBisonnes=MAUVAISE,VLOOKUP("Canola",AlimentsRationHivernaleBisonsFemelles,2,FALSE),0))))))))))))))))</f>
        <v>0</v>
      </c>
      <c r="BQ119" s="282"/>
      <c r="BR119" s="282"/>
      <c r="BS119" s="282"/>
      <c r="BT119" s="282"/>
      <c r="BU119" s="282"/>
      <c r="BX119" s="332" t="s">
        <v>170</v>
      </c>
      <c r="BY119" s="332">
        <f t="array" ref="BY119">IF(ChoixRationComplèteCaprins=OUI,0,IFERROR(IF(OR(AND(INDEX(Règles_caprins[Specificite],MATCH(ChoixRationCaprins&amp;$BX119,Règles_caprins[Ration]&amp;Règles_caprins[Aliment],0))="s1",IF($BX119=Spécificité1Caprins,1)),
INDEX(Règles_caprins[Specificite],MATCH(ChoixRationCaprins&amp;$BX119,Règles_caprins[Ration]&amp;Règles_caprins[Aliment],0))="c"),
INDEX(Règles_caprins[Valeur 12 et plus],MATCH(ChoixRationCaprins&amp;$BX119,Règles_caprins[Ration]&amp;Règles_caprins[Aliment],0)),0),0)*TotalBoucs*NbreJoursNourrirCaprins)</f>
        <v>0</v>
      </c>
      <c r="BZ119" s="332">
        <f t="array" ref="BZ119">IF(ChoixRationComplèteCaprins=OUI,0,IFERROR(IF(OR(AND(INDEX(Règles_caprins[Specificite],MATCH(ChoixRationCaprins&amp;$BX119,Règles_caprins[Ration]&amp;Règles_caprins[Aliment],0))="s1",IF($BX119=Spécificité1Caprins,1)),
INDEX(Règles_caprins[Specificite],MATCH(ChoixRationCaprins&amp;$BX119,Règles_caprins[Ration]&amp;Règles_caprins[Aliment],0))="c"),
INDEX(Règles_caprins[Valeur 6-12],MATCH(ChoixRationCaprins&amp;$BX119,Règles_caprins[Ration]&amp;Règles_caprins[Aliment],0)),0),0)*jeune_bouc_6_12_mois*NbreJoursNourrirCaprins)</f>
        <v>0</v>
      </c>
      <c r="CA119" s="332">
        <f t="array" ref="CA119">IF(ChoixRationComplèteCaprins=OUI,0,IFERROR(IF(OR(AND(INDEX(Règles_caprins[Specificite],MATCH(ChoixRationCaprins&amp;$BX119,Règles_caprins[Ration]&amp;Règles_caprins[Aliment],0))="s1",IF($BX119=Spécificité1Caprins,1)),
INDEX(Règles_caprins[Specificite],MATCH(ChoixRationCaprins&amp;$BX119,Règles_caprins[Ration]&amp;Règles_caprins[Aliment],0))="c"),
INDEX(Règles_caprins[Valeur 3-6],MATCH(ChoixRationCaprins&amp;$BX119,Règles_caprins[Ration]&amp;Règles_caprins[Aliment],0)),0),0)*chevreau_3_6_mois*NbreJoursNourrirCaprins)</f>
        <v>0</v>
      </c>
      <c r="CB119" s="332">
        <f t="array" ref="CB119">IF(ChoixRationComplèteCaprins=OUI,0,IFERROR(IF(OR(AND(INDEX(Règles_caprins[Specificite],MATCH(ChoixRationCaprins&amp;$BX119,Règles_caprins[Ration]&amp;Règles_caprins[Aliment],0))="s1",IF($BX119=Spécificité1Caprins,1)),
INDEX(Règles_caprins[Specificite],MATCH(ChoixRationCaprins&amp;$BX119,Règles_caprins[Ration]&amp;Règles_caprins[Aliment],0))="c"),
INDEX(Règles_caprins[Valeur 0-3],MATCH(ChoixRationCaprins&amp;$BX119,Règles_caprins[Ration]&amp;Règles_caprins[Aliment],0)),0),0)*chevreau_0_3_mois*NbreJoursNourrirCaprins)</f>
        <v>0</v>
      </c>
      <c r="CC119" s="332">
        <f t="shared" si="9"/>
        <v>0</v>
      </c>
      <c r="CH119" s="276"/>
    </row>
    <row r="120" spans="1:86" ht="12.75" customHeight="1" x14ac:dyDescent="0.2">
      <c r="A120" s="363" t="s">
        <v>335</v>
      </c>
      <c r="B120" s="362">
        <f t="shared" si="8"/>
        <v>1E-3</v>
      </c>
      <c r="F120" s="280" t="s">
        <v>519</v>
      </c>
      <c r="G120" s="280">
        <v>137.5</v>
      </c>
      <c r="H120" s="280">
        <v>65</v>
      </c>
      <c r="I120" s="280">
        <v>180</v>
      </c>
      <c r="J120" s="280">
        <v>75</v>
      </c>
      <c r="K120" s="280">
        <v>50</v>
      </c>
      <c r="L120" s="280">
        <v>70</v>
      </c>
      <c r="O120" s="366">
        <v>9000</v>
      </c>
      <c r="BB120" s="369" t="s">
        <v>442</v>
      </c>
      <c r="BC120" s="344" t="s">
        <v>434</v>
      </c>
      <c r="BD120" s="344" t="s">
        <v>735</v>
      </c>
      <c r="BE120" s="370">
        <v>169</v>
      </c>
      <c r="BF120" s="370">
        <v>144</v>
      </c>
      <c r="BG120" s="370">
        <v>112</v>
      </c>
      <c r="BH120" s="370">
        <v>85</v>
      </c>
      <c r="BI120" s="370">
        <v>57</v>
      </c>
      <c r="BJ120" s="370">
        <v>29</v>
      </c>
      <c r="BK120" s="371">
        <v>0</v>
      </c>
      <c r="BL120" s="305"/>
      <c r="BM120" s="332" t="str">
        <f t="shared" si="10"/>
        <v>Colza</v>
      </c>
      <c r="BN120" s="333">
        <f t="array" ref="BN120">SUM((IF(QualitéAlimentsBisonneauxMâles_0_3_mois=BONNE,VLOOKUP("Colza",AlimentsRationHivernaleBisonsMâles,8,FALSE),0)+(IF(QualitéAlimentsBisonneauxFemelles_0_3_mois=BONNE,VLOOKUP("Colza",AlimentsRationHivernaleBisonsFemelles,8,FALSE),0)+(IF(QualitéAlimentsBisonneauxMâles_3_6_mois=BONNE,VLOOKUP("Colza",AlimentsRationHivernaleBisonsMâles,7,FALSE),0)+(IF(QualitéAlimentsBisonneauxFemelles_3_6_mois=BONNE,VLOOKUP("Colza",AlimentsRationHivernaleBisonsFemelles,7,FALSE),0)+(IF(QualitéAlimentsBisonneauxMâles_6_12_mois=BONNE,VLOOKUP("Colza",AlimentsRationHivernaleBisonsMâles,6,FALSE),0)+(IF(QualitéAlimentsBisonneauxFemelles_6_12_mois=BONNE,VLOOKUP("Colza",AlimentsRationHivernaleBisonsFemelles,6,FALSE),0)+(IF(QualitéAlimentsJeunesBisons_12_18_mois=BONNE,VLOOKUP("Colza",AlimentsRationHivernaleBisonsMâles,5,FALSE),0)+(IF(QualitéAlimentsJeunesBisonnes_12_18_mois=BONNE,VLOOKUP("Colza",AlimentsRationHivernaleBisonsFemelles,5,FALSE),0)+(IF(QualitéAlimentsJeunesBisons_18_24_mois=BONNE,VLOOKUP("Colza",AlimentsRationHivernaleBisonsMâles,4,FALSE),0)+(IF(QualitéAlimentsJeunesBisonnes_18_24_mois=BONNE,VLOOKUP("Colza",AlimentsRationHivernaleBisonsFemelles,4,FALSE),0)+(IF(QualitéAlimentsJeunesBisons_24_36_mois=BONNE,VLOOKUP("Colza",AlimentsRationHivernaleBisonsMâles,3,FALSE),0)+(IF(QualitéAlimentsJeunesBisonnes_24_36_mois=BONNE,VLOOKUP("Colza",AlimentsRationHivernaleBisonsFemelles,3,FALSE),0)+(IF(QualitéAlimentsBisons=BONNE,VLOOKUP("Colza",AlimentsRationHivernaleBisonsMâles,2,FALSE),0)+(IF(QualitéAlimentsBisonnes=BONNE,VLOOKUP("Colza",AlimentsRationHivernaleBisonsFemelles,2,FALSE),0))))))))))))))))</f>
        <v>0</v>
      </c>
      <c r="BO120" s="333">
        <f t="array" ref="BO120">SUM((IF(QualitéAlimentsBisonneauxMâles_0_3_mois=MOYENNE,VLOOKUP("Colza",AlimentsRationHivernaleBisonsMâles,8,FALSE),0)+(IF(QualitéAlimentsBisonneauxFemelles_0_3_mois=MOYENNE,VLOOKUP("Colza",AlimentsRationHivernaleBisonsFemelles,8,FALSE),0)+(IF(QualitéAlimentsBisonneauxMâles_3_6_mois=MOYENNE,VLOOKUP("Colza",AlimentsRationHivernaleBisonsMâles,7,FALSE),0)+(IF(QualitéAlimentsBisonneauxFemelles_3_6_mois=MOYENNE,VLOOKUP("Colza",AlimentsRationHivernaleBisonsFemelles,7,FALSE),0)+(IF(QualitéAlimentsBisonneauxMâles_6_12_mois=MOYENNE,VLOOKUP("Colza",AlimentsRationHivernaleBisonsMâles,6,FALSE),0)+(IF(QualitéAlimentsBisonneauxFemelles_6_12_mois=MOYENNE,VLOOKUP("Colza",AlimentsRationHivernaleBisonsFemelles,6,FALSE),0)+(IF(QualitéAlimentsJeunesBisons_12_18_mois=MOYENNE,VLOOKUP("Colza",AlimentsRationHivernaleBisonsMâles,5,FALSE),0)+(IF(QualitéAlimentsJeunesBisonnes_12_18_mois=MOYENNE,VLOOKUP("Colza",AlimentsRationHivernaleBisonsFemelles,5,FALSE),0)+(IF(QualitéAlimentsJeunesBisons_18_24_mois=MOYENNE,VLOOKUP("Colza",AlimentsRationHivernaleBisonsMâles,4,FALSE),0)+(IF(QualitéAlimentsJeunesBisonnes_18_24_mois=MOYENNE,VLOOKUP("Colza",AlimentsRationHivernaleBisonsFemelles,4,FALSE),0)+(IF(QualitéAlimentsJeunesBisons_24_36_mois=MOYENNE,VLOOKUP("Colza",AlimentsRationHivernaleBisonsMâles,3,FALSE),0)+(IF(QualitéAlimentsJeunesBisonnes_24_36_mois=MOYENNE,VLOOKUP("Colza",AlimentsRationHivernaleBisonsFemelles,3,FALSE),0)+(IF(QualitéAlimentsBisons=MOYENNE,VLOOKUP("Colza",AlimentsRationHivernaleBisonsMâles,2,FALSE),0)+(IF(QualitéAlimentsBisonnes=MOYENNE,VLOOKUP("Colza",AlimentsRationHivernaleBisonsFemelles,2,FALSE),0))))))))))))))))</f>
        <v>0</v>
      </c>
      <c r="BP120" s="333">
        <f t="array" ref="BP120">SUM((IF(QualitéAlimentsBisonneauxMâles_0_3_mois=MAUVAISE,VLOOKUP("Colza",AlimentsRationHivernaleBisonsMâles,8,FALSE),0)+(IF(QualitéAlimentsBisonneauxFemelles_0_3_mois=MAUVAISE,VLOOKUP("Colza",AlimentsRationHivernaleBisonsFemelles,8,FALSE),0)+(IF(QualitéAlimentsBisonneauxMâles_3_6_mois=MAUVAISE,VLOOKUP("Colza",AlimentsRationHivernaleBisonsMâles,7,FALSE),0)+(IF(QualitéAlimentsBisonneauxFemelles_3_6_mois=MAUVAISE,VLOOKUP("Colza",AlimentsRationHivernaleBisonsFemelles,7,FALSE),0)+(IF(QualitéAlimentsBisonneauxMâles_6_12_mois=MAUVAISE,VLOOKUP("Colza",AlimentsRationHivernaleBisonsMâles,6,FALSE),0)+(IF(QualitéAlimentsBisonneauxFemelles_6_12_mois=MAUVAISE,VLOOKUP("Colza",AlimentsRationHivernaleBisonsFemelles,6,FALSE),0)+(IF(QualitéAlimentsJeunesBisons_12_18_mois=MAUVAISE,VLOOKUP("Colza",AlimentsRationHivernaleBisonsMâles,5,FALSE),0)+(IF(QualitéAlimentsJeunesBisonnes_12_18_mois=MAUVAISE,VLOOKUP("Colza",AlimentsRationHivernaleBisonsFemelles,5,FALSE),0)+(IF(QualitéAlimentsJeunesBisons_18_24_mois=MAUVAISE,VLOOKUP("Colza",AlimentsRationHivernaleBisonsMâles,4,FALSE),0)+(IF(QualitéAlimentsJeunesBisonnes_18_24_mois=MAUVAISE,VLOOKUP("Colza",AlimentsRationHivernaleBisonsFemelles,4,FALSE),0)+(IF(QualitéAlimentsJeunesBisons_24_36_mois=MAUVAISE,VLOOKUP("Colza",AlimentsRationHivernaleBisonsMâles,3,FALSE),0)+(IF(QualitéAlimentsJeunesBisonnes_24_36_mois=MAUVAISE,VLOOKUP("Colza",AlimentsRationHivernaleBisonsFemelles,3,FALSE),0)+(IF(QualitéAlimentsBisons=MAUVAISE,VLOOKUP("Colza",AlimentsRationHivernaleBisonsMâles,2,FALSE),0)+(IF(QualitéAlimentsBisonnes=MAUVAISE,VLOOKUP("Colza",AlimentsRationHivernaleBisonsFemelles,2,FALSE),0))))))))))))))))</f>
        <v>0</v>
      </c>
      <c r="BQ120" s="282"/>
      <c r="BR120" s="282"/>
      <c r="BS120" s="282"/>
      <c r="BT120" s="282"/>
      <c r="BU120" s="282"/>
      <c r="BX120" s="332" t="s">
        <v>124</v>
      </c>
      <c r="BY120" s="332">
        <f t="array" ref="BY120">IF(ChoixRationComplèteCaprins=OUI,0,IFERROR(IF(OR(AND(INDEX(Règles_caprins[Specificite],MATCH(ChoixRationCaprins&amp;$BX120,Règles_caprins[Ration]&amp;Règles_caprins[Aliment],0))="s1",IF($BX120=Spécificité1Caprins,1)),
INDEX(Règles_caprins[Specificite],MATCH(ChoixRationCaprins&amp;$BX120,Règles_caprins[Ration]&amp;Règles_caprins[Aliment],0))="c"),
INDEX(Règles_caprins[Valeur 12 et plus],MATCH(ChoixRationCaprins&amp;$BX120,Règles_caprins[Ration]&amp;Règles_caprins[Aliment],0)),0),0)*TotalBoucs*NbreJoursNourrirCaprins)</f>
        <v>0</v>
      </c>
      <c r="BZ120" s="332">
        <f t="array" ref="BZ120">IF(ChoixRationComplèteCaprins=OUI,0,IFERROR(IF(OR(AND(INDEX(Règles_caprins[Specificite],MATCH(ChoixRationCaprins&amp;$BX120,Règles_caprins[Ration]&amp;Règles_caprins[Aliment],0))="s1",IF($BX120=Spécificité1Caprins,1)),
INDEX(Règles_caprins[Specificite],MATCH(ChoixRationCaprins&amp;$BX120,Règles_caprins[Ration]&amp;Règles_caprins[Aliment],0))="c"),
INDEX(Règles_caprins[Valeur 6-12],MATCH(ChoixRationCaprins&amp;$BX120,Règles_caprins[Ration]&amp;Règles_caprins[Aliment],0)),0),0)*jeune_bouc_6_12_mois*NbreJoursNourrirCaprins)</f>
        <v>0</v>
      </c>
      <c r="CA120" s="332">
        <f t="array" ref="CA120">IF(ChoixRationComplèteCaprins=OUI,0,IFERROR(IF(OR(AND(INDEX(Règles_caprins[Specificite],MATCH(ChoixRationCaprins&amp;$BX120,Règles_caprins[Ration]&amp;Règles_caprins[Aliment],0))="s1",IF($BX120=Spécificité1Caprins,1)),
INDEX(Règles_caprins[Specificite],MATCH(ChoixRationCaprins&amp;$BX120,Règles_caprins[Ration]&amp;Règles_caprins[Aliment],0))="c"),
INDEX(Règles_caprins[Valeur 3-6],MATCH(ChoixRationCaprins&amp;$BX120,Règles_caprins[Ration]&amp;Règles_caprins[Aliment],0)),0),0)*chevreau_3_6_mois*NbreJoursNourrirCaprins)</f>
        <v>0</v>
      </c>
      <c r="CB120" s="332">
        <f t="array" ref="CB120">IF(ChoixRationComplèteCaprins=OUI,0,IFERROR(IF(OR(AND(INDEX(Règles_caprins[Specificite],MATCH(ChoixRationCaprins&amp;$BX120,Règles_caprins[Ration]&amp;Règles_caprins[Aliment],0))="s1",IF($BX120=Spécificité1Caprins,1)),
INDEX(Règles_caprins[Specificite],MATCH(ChoixRationCaprins&amp;$BX120,Règles_caprins[Ration]&amp;Règles_caprins[Aliment],0))="c"),
INDEX(Règles_caprins[Valeur 0-3],MATCH(ChoixRationCaprins&amp;$BX120,Règles_caprins[Ration]&amp;Règles_caprins[Aliment],0)),0),0)*chevreau_0_3_mois*NbreJoursNourrirCaprins)</f>
        <v>0</v>
      </c>
      <c r="CC120" s="332">
        <f t="shared" si="9"/>
        <v>0</v>
      </c>
      <c r="CH120" s="276"/>
    </row>
    <row r="121" spans="1:86" ht="12.75" customHeight="1" x14ac:dyDescent="0.2">
      <c r="A121" s="355" t="s">
        <v>134</v>
      </c>
      <c r="B121" s="362">
        <f t="shared" si="8"/>
        <v>1E-3</v>
      </c>
      <c r="F121" s="280" t="s">
        <v>522</v>
      </c>
      <c r="G121" s="280">
        <v>75</v>
      </c>
      <c r="H121" s="280">
        <v>60</v>
      </c>
      <c r="I121" s="280">
        <v>45</v>
      </c>
      <c r="J121" s="280">
        <v>45</v>
      </c>
      <c r="K121" s="280">
        <v>15</v>
      </c>
      <c r="L121" s="280">
        <v>35</v>
      </c>
      <c r="O121" s="366">
        <v>10000</v>
      </c>
      <c r="BB121" s="369" t="s">
        <v>442</v>
      </c>
      <c r="BC121" s="344" t="s">
        <v>124</v>
      </c>
      <c r="BD121" s="344" t="s">
        <v>711</v>
      </c>
      <c r="BE121" s="370">
        <v>72</v>
      </c>
      <c r="BF121" s="370">
        <v>60</v>
      </c>
      <c r="BG121" s="370">
        <v>48</v>
      </c>
      <c r="BH121" s="370">
        <v>36</v>
      </c>
      <c r="BI121" s="370">
        <v>24</v>
      </c>
      <c r="BJ121" s="370">
        <v>12</v>
      </c>
      <c r="BK121" s="371">
        <v>0</v>
      </c>
      <c r="BL121" s="305"/>
      <c r="BM121" s="332" t="str">
        <f t="shared" si="10"/>
        <v>concentré jeunes bovins</v>
      </c>
      <c r="BN121" s="333">
        <f t="array" ref="BN121">SUM((IF(QualitéAlimentsBisonneauxMâles_0_3_mois=BONNE,VLOOKUP("concentré jeunes bovins",AlimentsRationHivernaleBisonsMâles,8,FALSE),0)+(IF(QualitéAlimentsBisonneauxFemelles_0_3_mois=BONNE,VLOOKUP("concentré jeunes bovins",AlimentsRationHivernaleBisonsFemelles,8,FALSE),0)+(IF(QualitéAlimentsBisonneauxMâles_3_6_mois=BONNE,VLOOKUP("concentré jeunes bovins",AlimentsRationHivernaleBisonsMâles,7,FALSE),0)+(IF(QualitéAlimentsBisonneauxFemelles_3_6_mois=BONNE,VLOOKUP("concentré jeunes bovins",AlimentsRationHivernaleBisonsFemelles,7,FALSE),0)+(IF(QualitéAlimentsBisonneauxMâles_6_12_mois=BONNE,VLOOKUP("concentré jeunes bovins",AlimentsRationHivernaleBisonsMâles,6,FALSE),0)+(IF(QualitéAlimentsBisonneauxFemelles_6_12_mois=BONNE,VLOOKUP("concentré jeunes bovins",AlimentsRationHivernaleBisonsFemelles,6,FALSE),0)+(IF(QualitéAlimentsJeunesBisons_12_18_mois=BONNE,VLOOKUP("concentré jeunes bovins",AlimentsRationHivernaleBisonsMâles,5,FALSE),0)+(IF(QualitéAlimentsJeunesBisonnes_12_18_mois=BONNE,VLOOKUP("concentré jeunes bovins",AlimentsRationHivernaleBisonsFemelles,5,FALSE),0)+(IF(QualitéAlimentsJeunesBisons_18_24_mois=BONNE,VLOOKUP("concentré jeunes bovins",AlimentsRationHivernaleBisonsMâles,4,FALSE),0)+(IF(QualitéAlimentsJeunesBisonnes_18_24_mois=BONNE,VLOOKUP("concentré jeunes bovins",AlimentsRationHivernaleBisonsFemelles,4,FALSE),0)+(IF(QualitéAlimentsJeunesBisons_24_36_mois=BONNE,VLOOKUP("concentré jeunes bovins",AlimentsRationHivernaleBisonsMâles,3,FALSE),0)+(IF(QualitéAlimentsJeunesBisonnes_24_36_mois=BONNE,VLOOKUP("concentré jeunes bovins",AlimentsRationHivernaleBisonsFemelles,3,FALSE),0)+(IF(QualitéAlimentsBisons=BONNE,VLOOKUP("concentré jeunes bovins",AlimentsRationHivernaleBisonsMâles,2,FALSE),0)+(IF(QualitéAlimentsBisonnes=BONNE,VLOOKUP("concentré jeunes bovins",AlimentsRationHivernaleBisonsFemelles,2,FALSE),0))))))))))))))))</f>
        <v>0</v>
      </c>
      <c r="BO121" s="333">
        <f t="array" ref="BO121">SUM((IF(QualitéAlimentsBisonneauxMâles_0_3_mois=MOYENNE,VLOOKUP("concentré jeunes bovins",AlimentsRationHivernaleBisonsMâles,8,FALSE),0)+(IF(QualitéAlimentsBisonneauxFemelles_0_3_mois=MOYENNE,VLOOKUP("concentré jeunes bovins",AlimentsRationHivernaleBisonsFemelles,8,FALSE),0)+(IF(QualitéAlimentsBisonneauxMâles_3_6_mois=MOYENNE,VLOOKUP("concentré jeunes bovins",AlimentsRationHivernaleBisonsMâles,7,FALSE),0)+(IF(QualitéAlimentsBisonneauxFemelles_3_6_mois=MOYENNE,VLOOKUP("concentré jeunes bovins",AlimentsRationHivernaleBisonsFemelles,7,FALSE),0)+(IF(QualitéAlimentsBisonneauxMâles_6_12_mois=MOYENNE,VLOOKUP("concentré jeunes bovins",AlimentsRationHivernaleBisonsMâles,6,FALSE),0)+(IF(QualitéAlimentsBisonneauxFemelles_6_12_mois=MOYENNE,VLOOKUP("concentré jeunes bovins",AlimentsRationHivernaleBisonsFemelles,6,FALSE),0)+(IF(QualitéAlimentsJeunesBisons_12_18_mois=MOYENNE,VLOOKUP("concentré jeunes bovins",AlimentsRationHivernaleBisonsMâles,5,FALSE),0)+(IF(QualitéAlimentsJeunesBisonnes_12_18_mois=MOYENNE,VLOOKUP("concentré jeunes bovins",AlimentsRationHivernaleBisonsFemelles,5,FALSE),0)+(IF(QualitéAlimentsJeunesBisons_18_24_mois=MOYENNE,VLOOKUP("concentré jeunes bovins",AlimentsRationHivernaleBisonsMâles,4,FALSE),0)+(IF(QualitéAlimentsJeunesBisonnes_18_24_mois=MOYENNE,VLOOKUP("concentré jeunes bovins",AlimentsRationHivernaleBisonsFemelles,4,FALSE),0)+(IF(QualitéAlimentsJeunesBisons_24_36_mois=MOYENNE,VLOOKUP("concentré jeunes bovins",AlimentsRationHivernaleBisonsMâles,3,FALSE),0)+(IF(QualitéAlimentsJeunesBisonnes_24_36_mois=MOYENNE,VLOOKUP("concentré jeunes bovins",AlimentsRationHivernaleBisonsFemelles,3,FALSE),0)+(IF(QualitéAlimentsBisons=MOYENNE,VLOOKUP("concentré jeunes bovins",AlimentsRationHivernaleBisonsMâles,2,FALSE),0)+(IF(QualitéAlimentsBisonnes=MOYENNE,VLOOKUP("concentré jeunes bovins",AlimentsRationHivernaleBisonsFemelles,2,FALSE),0))))))))))))))))</f>
        <v>0</v>
      </c>
      <c r="BP121" s="333">
        <f t="array" ref="BP121">SUM((IF(QualitéAlimentsBisonneauxMâles_0_3_mois=MAUVAISE,VLOOKUP("concentré jeunes bovins",AlimentsRationHivernaleBisonsMâles,8,FALSE),0)+(IF(QualitéAlimentsBisonneauxFemelles_0_3_mois=MAUVAISE,VLOOKUP("concentré jeunes bovins",AlimentsRationHivernaleBisonsFemelles,8,FALSE),0)+(IF(QualitéAlimentsBisonneauxMâles_3_6_mois=MAUVAISE,VLOOKUP("concentré jeunes bovins",AlimentsRationHivernaleBisonsMâles,7,FALSE),0)+(IF(QualitéAlimentsBisonneauxFemelles_3_6_mois=MAUVAISE,VLOOKUP("concentré jeunes bovins",AlimentsRationHivernaleBisonsFemelles,7,FALSE),0)+(IF(QualitéAlimentsBisonneauxMâles_6_12_mois=MAUVAISE,VLOOKUP("concentré jeunes bovins",AlimentsRationHivernaleBisonsMâles,6,FALSE),0)+(IF(QualitéAlimentsBisonneauxFemelles_6_12_mois=MAUVAISE,VLOOKUP("concentré jeunes bovins",AlimentsRationHivernaleBisonsFemelles,6,FALSE),0)+(IF(QualitéAlimentsJeunesBisons_12_18_mois=MAUVAISE,VLOOKUP("concentré jeunes bovins",AlimentsRationHivernaleBisonsMâles,5,FALSE),0)+(IF(QualitéAlimentsJeunesBisonnes_12_18_mois=MAUVAISE,VLOOKUP("concentré jeunes bovins",AlimentsRationHivernaleBisonsFemelles,5,FALSE),0)+(IF(QualitéAlimentsJeunesBisons_18_24_mois=MAUVAISE,VLOOKUP("concentré jeunes bovins",AlimentsRationHivernaleBisonsMâles,4,FALSE),0)+(IF(QualitéAlimentsJeunesBisonnes_18_24_mois=MAUVAISE,VLOOKUP("concentré jeunes bovins",AlimentsRationHivernaleBisonsFemelles,4,FALSE),0)+(IF(QualitéAlimentsJeunesBisons_24_36_mois=MAUVAISE,VLOOKUP("concentré jeunes bovins",AlimentsRationHivernaleBisonsMâles,3,FALSE),0)+(IF(QualitéAlimentsJeunesBisonnes_24_36_mois=MAUVAISE,VLOOKUP("concentré jeunes bovins",AlimentsRationHivernaleBisonsFemelles,3,FALSE),0)+(IF(QualitéAlimentsBisons=MAUVAISE,VLOOKUP("concentré jeunes bovins",AlimentsRationHivernaleBisonsMâles,2,FALSE),0)+(IF(QualitéAlimentsBisonnes=MAUVAISE,VLOOKUP("concentré jeunes bovins",AlimentsRationHivernaleBisonsFemelles,2,FALSE),0))))))))))))))))</f>
        <v>0</v>
      </c>
      <c r="BQ121" s="282"/>
      <c r="BR121" s="282"/>
      <c r="BS121" s="282"/>
      <c r="BT121" s="282"/>
      <c r="BU121" s="282"/>
      <c r="BX121" s="332" t="s">
        <v>187</v>
      </c>
      <c r="BY121" s="332">
        <f t="array" ref="BY121">IF(ChoixRationComplèteCaprins=OUI,0,IFERROR(IF(OR(AND(INDEX(Règles_caprins[Specificite],MATCH(ChoixRationCaprins&amp;$BX121,Règles_caprins[Ration]&amp;Règles_caprins[Aliment],0))="s1",IF($BX121=Spécificité1Caprins,1)),
INDEX(Règles_caprins[Specificite],MATCH(ChoixRationCaprins&amp;$BX121,Règles_caprins[Ration]&amp;Règles_caprins[Aliment],0))="c"),
INDEX(Règles_caprins[Valeur 12 et plus],MATCH(ChoixRationCaprins&amp;$BX121,Règles_caprins[Ration]&amp;Règles_caprins[Aliment],0)),0),0)*TotalBoucs*NbreJoursNourrirCaprins)</f>
        <v>0</v>
      </c>
      <c r="BZ121" s="332">
        <f t="array" ref="BZ121">IF(ChoixRationComplèteCaprins=OUI,0,IFERROR(IF(OR(AND(INDEX(Règles_caprins[Specificite],MATCH(ChoixRationCaprins&amp;$BX121,Règles_caprins[Ration]&amp;Règles_caprins[Aliment],0))="s1",IF($BX121=Spécificité1Caprins,1)),
INDEX(Règles_caprins[Specificite],MATCH(ChoixRationCaprins&amp;$BX121,Règles_caprins[Ration]&amp;Règles_caprins[Aliment],0))="c"),
INDEX(Règles_caprins[Valeur 6-12],MATCH(ChoixRationCaprins&amp;$BX121,Règles_caprins[Ration]&amp;Règles_caprins[Aliment],0)),0),0)*jeune_bouc_6_12_mois*NbreJoursNourrirCaprins)</f>
        <v>0</v>
      </c>
      <c r="CA121" s="332">
        <f t="array" ref="CA121">IF(ChoixRationComplèteCaprins=OUI,0,IFERROR(IF(OR(AND(INDEX(Règles_caprins[Specificite],MATCH(ChoixRationCaprins&amp;$BX121,Règles_caprins[Ration]&amp;Règles_caprins[Aliment],0))="s1",IF($BX121=Spécificité1Caprins,1)),
INDEX(Règles_caprins[Specificite],MATCH(ChoixRationCaprins&amp;$BX121,Règles_caprins[Ration]&amp;Règles_caprins[Aliment],0))="c"),
INDEX(Règles_caprins[Valeur 3-6],MATCH(ChoixRationCaprins&amp;$BX121,Règles_caprins[Ration]&amp;Règles_caprins[Aliment],0)),0),0)*chevreau_3_6_mois*NbreJoursNourrirCaprins)</f>
        <v>0</v>
      </c>
      <c r="CB121" s="332">
        <f t="array" ref="CB121">IF(ChoixRationComplèteCaprins=OUI,0,IFERROR(IF(OR(AND(INDEX(Règles_caprins[Specificite],MATCH(ChoixRationCaprins&amp;$BX121,Règles_caprins[Ration]&amp;Règles_caprins[Aliment],0))="s1",IF($BX121=Spécificité1Caprins,1)),
INDEX(Règles_caprins[Specificite],MATCH(ChoixRationCaprins&amp;$BX121,Règles_caprins[Ration]&amp;Règles_caprins[Aliment],0))="c"),
INDEX(Règles_caprins[Valeur 0-3],MATCH(ChoixRationCaprins&amp;$BX121,Règles_caprins[Ration]&amp;Règles_caprins[Aliment],0)),0),0)*chevreau_0_3_mois*NbreJoursNourrirCaprins)</f>
        <v>0</v>
      </c>
      <c r="CC121" s="332">
        <f t="shared" si="9"/>
        <v>0</v>
      </c>
      <c r="CH121" s="276"/>
    </row>
    <row r="122" spans="1:86" ht="12.75" customHeight="1" x14ac:dyDescent="0.2">
      <c r="A122" s="355" t="s">
        <v>287</v>
      </c>
      <c r="B122" s="362">
        <f t="shared" si="8"/>
        <v>1E-3</v>
      </c>
      <c r="F122" s="280" t="s">
        <v>654</v>
      </c>
      <c r="G122" s="280">
        <v>95</v>
      </c>
      <c r="H122" s="280">
        <v>60</v>
      </c>
      <c r="I122" s="280">
        <v>120</v>
      </c>
      <c r="J122" s="280">
        <v>180</v>
      </c>
      <c r="K122" s="280">
        <v>35</v>
      </c>
      <c r="L122" s="280">
        <v>60</v>
      </c>
      <c r="BB122" s="369" t="s">
        <v>442</v>
      </c>
      <c r="BC122" s="344" t="s">
        <v>190</v>
      </c>
      <c r="BD122" s="344" t="s">
        <v>711</v>
      </c>
      <c r="BE122" s="370">
        <v>42</v>
      </c>
      <c r="BF122" s="370">
        <v>36</v>
      </c>
      <c r="BG122" s="370">
        <v>24</v>
      </c>
      <c r="BH122" s="370">
        <v>18</v>
      </c>
      <c r="BI122" s="370">
        <v>12</v>
      </c>
      <c r="BJ122" s="370">
        <v>6</v>
      </c>
      <c r="BK122" s="371">
        <v>0</v>
      </c>
      <c r="BL122" s="305"/>
      <c r="BM122" s="332" t="str">
        <f t="shared" si="10"/>
        <v>concentré jeunes lapins</v>
      </c>
      <c r="BN122" s="333">
        <f t="array" ref="BN122">SUM((IF(QualitéAlimentsBisonneauxMâles_0_3_mois=BONNE,VLOOKUP("concentré jeunes lapins",AlimentsRationHivernaleBisonsMâles,8,FALSE),0)+(IF(QualitéAlimentsBisonneauxFemelles_0_3_mois=BONNE,VLOOKUP("concentré jeunes lapins",AlimentsRationHivernaleBisonsFemelles,8,FALSE),0)+(IF(QualitéAlimentsBisonneauxMâles_3_6_mois=BONNE,VLOOKUP("concentré jeunes lapins",AlimentsRationHivernaleBisonsMâles,7,FALSE),0)+(IF(QualitéAlimentsBisonneauxFemelles_3_6_mois=BONNE,VLOOKUP("concentré jeunes lapins",AlimentsRationHivernaleBisonsFemelles,7,FALSE),0)+(IF(QualitéAlimentsBisonneauxMâles_6_12_mois=BONNE,VLOOKUP("concentré jeunes lapins",AlimentsRationHivernaleBisonsMâles,6,FALSE),0)+(IF(QualitéAlimentsBisonneauxFemelles_6_12_mois=BONNE,VLOOKUP("concentré jeunes lapins",AlimentsRationHivernaleBisonsFemelles,6,FALSE),0)+(IF(QualitéAlimentsJeunesBisons_12_18_mois=BONNE,VLOOKUP("concentré jeunes lapins",AlimentsRationHivernaleBisonsMâles,5,FALSE),0)+(IF(QualitéAlimentsJeunesBisonnes_12_18_mois=BONNE,VLOOKUP("concentré jeunes lapins",AlimentsRationHivernaleBisonsFemelles,5,FALSE),0)+(IF(QualitéAlimentsJeunesBisons_18_24_mois=BONNE,VLOOKUP("concentré jeunes lapins",AlimentsRationHivernaleBisonsMâles,4,FALSE),0)+(IF(QualitéAlimentsJeunesBisonnes_18_24_mois=BONNE,VLOOKUP("concentré jeunes lapins",AlimentsRationHivernaleBisonsFemelles,4,FALSE),0)+(IF(QualitéAlimentsJeunesBisons_24_36_mois=BONNE,VLOOKUP("concentré jeunes lapins",AlimentsRationHivernaleBisonsMâles,3,FALSE),0)+(IF(QualitéAlimentsJeunesBisonnes_24_36_mois=BONNE,VLOOKUP("concentré jeunes lapins",AlimentsRationHivernaleBisonsFemelles,3,FALSE),0)+(IF(QualitéAlimentsBisons=BONNE,VLOOKUP("concentré jeunes lapins",AlimentsRationHivernaleBisonsMâles,2,FALSE),0)+(IF(QualitéAlimentsBisonnes=BONNE,VLOOKUP("concentré jeunes lapins",AlimentsRationHivernaleBisonsFemelles,2,FALSE),0))))))))))))))))</f>
        <v>0</v>
      </c>
      <c r="BO122" s="333">
        <f t="array" ref="BO122">SUM((IF(QualitéAlimentsBisonneauxMâles_0_3_mois=MOYENNE,VLOOKUP("concentré jeunes lapins",AlimentsRationHivernaleBisonsMâles,8,FALSE),0)+(IF(QualitéAlimentsBisonneauxFemelles_0_3_mois=MOYENNE,VLOOKUP("concentré jeunes lapins",AlimentsRationHivernaleBisonsFemelles,8,FALSE),0)+(IF(QualitéAlimentsBisonneauxMâles_3_6_mois=MOYENNE,VLOOKUP("concentré jeunes lapins",AlimentsRationHivernaleBisonsMâles,7,FALSE),0)+(IF(QualitéAlimentsBisonneauxFemelles_3_6_mois=MOYENNE,VLOOKUP("concentré jeunes lapins",AlimentsRationHivernaleBisonsFemelles,7,FALSE),0)+(IF(QualitéAlimentsBisonneauxMâles_6_12_mois=MOYENNE,VLOOKUP("concentré jeunes lapins",AlimentsRationHivernaleBisonsMâles,6,FALSE),0)+(IF(QualitéAlimentsBisonneauxFemelles_6_12_mois=MOYENNE,VLOOKUP("concentré jeunes lapins",AlimentsRationHivernaleBisonsFemelles,6,FALSE),0)+(IF(QualitéAlimentsJeunesBisons_12_18_mois=MOYENNE,VLOOKUP("concentré jeunes lapins",AlimentsRationHivernaleBisonsMâles,5,FALSE),0)+(IF(QualitéAlimentsJeunesBisonnes_12_18_mois=MOYENNE,VLOOKUP("concentré jeunes lapins",AlimentsRationHivernaleBisonsFemelles,5,FALSE),0)+(IF(QualitéAlimentsJeunesBisons_18_24_mois=MOYENNE,VLOOKUP("concentré jeunes lapins",AlimentsRationHivernaleBisonsMâles,4,FALSE),0)+(IF(QualitéAlimentsJeunesBisonnes_18_24_mois=MOYENNE,VLOOKUP("concentré jeunes lapins",AlimentsRationHivernaleBisonsFemelles,4,FALSE),0)+(IF(QualitéAlimentsJeunesBisons_24_36_mois=MOYENNE,VLOOKUP("concentré jeunes lapins",AlimentsRationHivernaleBisonsMâles,3,FALSE),0)+(IF(QualitéAlimentsJeunesBisonnes_24_36_mois=MOYENNE,VLOOKUP("concentré jeunes lapins",AlimentsRationHivernaleBisonsFemelles,3,FALSE),0)+(IF(QualitéAlimentsBisons=MOYENNE,VLOOKUP("concentré jeunes lapins",AlimentsRationHivernaleBisonsMâles,2,FALSE),0)+(IF(QualitéAlimentsBisonnes=MOYENNE,VLOOKUP("concentré jeunes lapins",AlimentsRationHivernaleBisonsFemelles,2,FALSE),0))))))))))))))))</f>
        <v>0</v>
      </c>
      <c r="BP122" s="333">
        <f t="array" ref="BP122">SUM((IF(QualitéAlimentsBisonneauxMâles_0_3_mois=MAUVAISE,VLOOKUP("concentré jeunes lapins",AlimentsRationHivernaleBisonsMâles,8,FALSE),0)+(IF(QualitéAlimentsBisonneauxFemelles_0_3_mois=MAUVAISE,VLOOKUP("concentré jeunes lapins",AlimentsRationHivernaleBisonsFemelles,8,FALSE),0)+(IF(QualitéAlimentsBisonneauxMâles_3_6_mois=MAUVAISE,VLOOKUP("concentré jeunes lapins",AlimentsRationHivernaleBisonsMâles,7,FALSE),0)+(IF(QualitéAlimentsBisonneauxFemelles_3_6_mois=MAUVAISE,VLOOKUP("concentré jeunes lapins",AlimentsRationHivernaleBisonsFemelles,7,FALSE),0)+(IF(QualitéAlimentsBisonneauxMâles_6_12_mois=MAUVAISE,VLOOKUP("concentré jeunes lapins",AlimentsRationHivernaleBisonsMâles,6,FALSE),0)+(IF(QualitéAlimentsBisonneauxFemelles_6_12_mois=MAUVAISE,VLOOKUP("concentré jeunes lapins",AlimentsRationHivernaleBisonsFemelles,6,FALSE),0)+(IF(QualitéAlimentsJeunesBisons_12_18_mois=MAUVAISE,VLOOKUP("concentré jeunes lapins",AlimentsRationHivernaleBisonsMâles,5,FALSE),0)+(IF(QualitéAlimentsJeunesBisonnes_12_18_mois=MAUVAISE,VLOOKUP("concentré jeunes lapins",AlimentsRationHivernaleBisonsFemelles,5,FALSE),0)+(IF(QualitéAlimentsJeunesBisons_18_24_mois=MAUVAISE,VLOOKUP("concentré jeunes lapins",AlimentsRationHivernaleBisonsMâles,4,FALSE),0)+(IF(QualitéAlimentsJeunesBisonnes_18_24_mois=MAUVAISE,VLOOKUP("concentré jeunes lapins",AlimentsRationHivernaleBisonsFemelles,4,FALSE),0)+(IF(QualitéAlimentsJeunesBisons_24_36_mois=MAUVAISE,VLOOKUP("concentré jeunes lapins",AlimentsRationHivernaleBisonsMâles,3,FALSE),0)+(IF(QualitéAlimentsJeunesBisonnes_24_36_mois=MAUVAISE,VLOOKUP("concentré jeunes lapins",AlimentsRationHivernaleBisonsFemelles,3,FALSE),0)+(IF(QualitéAlimentsBisons=MAUVAISE,VLOOKUP("concentré jeunes lapins",AlimentsRationHivernaleBisonsMâles,2,FALSE),0)+(IF(QualitéAlimentsBisonnes=MAUVAISE,VLOOKUP("concentré jeunes lapins",AlimentsRationHivernaleBisonsFemelles,2,FALSE),0))))))))))))))))</f>
        <v>0</v>
      </c>
      <c r="BQ122" s="282"/>
      <c r="BR122" s="282"/>
      <c r="BS122" s="282"/>
      <c r="BT122" s="282"/>
      <c r="BU122" s="282"/>
      <c r="BX122" s="332" t="s">
        <v>188</v>
      </c>
      <c r="BY122" s="332">
        <f t="array" ref="BY122">IF(ChoixRationComplèteCaprins=OUI,0,IFERROR(IF(OR(AND(INDEX(Règles_caprins[Specificite],MATCH(ChoixRationCaprins&amp;$BX122,Règles_caprins[Ration]&amp;Règles_caprins[Aliment],0))="s1",IF($BX122=Spécificité1Caprins,1)),
INDEX(Règles_caprins[Specificite],MATCH(ChoixRationCaprins&amp;$BX122,Règles_caprins[Ration]&amp;Règles_caprins[Aliment],0))="c"),
INDEX(Règles_caprins[Valeur 12 et plus],MATCH(ChoixRationCaprins&amp;$BX122,Règles_caprins[Ration]&amp;Règles_caprins[Aliment],0)),0),0)*TotalBoucs*NbreJoursNourrirCaprins)</f>
        <v>0</v>
      </c>
      <c r="BZ122" s="332">
        <f t="array" ref="BZ122">IF(ChoixRationComplèteCaprins=OUI,0,IFERROR(IF(OR(AND(INDEX(Règles_caprins[Specificite],MATCH(ChoixRationCaprins&amp;$BX122,Règles_caprins[Ration]&amp;Règles_caprins[Aliment],0))="s1",IF($BX122=Spécificité1Caprins,1)),
INDEX(Règles_caprins[Specificite],MATCH(ChoixRationCaprins&amp;$BX122,Règles_caprins[Ration]&amp;Règles_caprins[Aliment],0))="c"),
INDEX(Règles_caprins[Valeur 6-12],MATCH(ChoixRationCaprins&amp;$BX122,Règles_caprins[Ration]&amp;Règles_caprins[Aliment],0)),0),0)*jeune_bouc_6_12_mois*NbreJoursNourrirCaprins)</f>
        <v>0</v>
      </c>
      <c r="CA122" s="332">
        <f t="array" ref="CA122">IF(ChoixRationComplèteCaprins=OUI,0,IFERROR(IF(OR(AND(INDEX(Règles_caprins[Specificite],MATCH(ChoixRationCaprins&amp;$BX122,Règles_caprins[Ration]&amp;Règles_caprins[Aliment],0))="s1",IF($BX122=Spécificité1Caprins,1)),
INDEX(Règles_caprins[Specificite],MATCH(ChoixRationCaprins&amp;$BX122,Règles_caprins[Ration]&amp;Règles_caprins[Aliment],0))="c"),
INDEX(Règles_caprins[Valeur 3-6],MATCH(ChoixRationCaprins&amp;$BX122,Règles_caprins[Ration]&amp;Règles_caprins[Aliment],0)),0),0)*chevreau_3_6_mois*NbreJoursNourrirCaprins)</f>
        <v>0</v>
      </c>
      <c r="CB122" s="332">
        <f t="array" ref="CB122">IF(ChoixRationComplèteCaprins=OUI,0,IFERROR(IF(OR(AND(INDEX(Règles_caprins[Specificite],MATCH(ChoixRationCaprins&amp;$BX122,Règles_caprins[Ration]&amp;Règles_caprins[Aliment],0))="s1",IF($BX122=Spécificité1Caprins,1)),
INDEX(Règles_caprins[Specificite],MATCH(ChoixRationCaprins&amp;$BX122,Règles_caprins[Ration]&amp;Règles_caprins[Aliment],0))="c"),
INDEX(Règles_caprins[Valeur 0-3],MATCH(ChoixRationCaprins&amp;$BX122,Règles_caprins[Ration]&amp;Règles_caprins[Aliment],0)),0),0)*chevreau_0_3_mois*NbreJoursNourrirCaprins)</f>
        <v>0</v>
      </c>
      <c r="CC122" s="332">
        <f t="shared" si="9"/>
        <v>0</v>
      </c>
      <c r="CH122" s="276"/>
    </row>
    <row r="123" spans="1:86" ht="12.75" customHeight="1" x14ac:dyDescent="0.2">
      <c r="A123" s="355" t="s">
        <v>288</v>
      </c>
      <c r="B123" s="362">
        <f t="shared" si="8"/>
        <v>1E-3</v>
      </c>
      <c r="F123" s="280" t="s">
        <v>655</v>
      </c>
      <c r="G123" s="280">
        <v>45</v>
      </c>
      <c r="H123" s="280">
        <v>120</v>
      </c>
      <c r="I123" s="280">
        <v>15</v>
      </c>
      <c r="J123" s="280">
        <v>3600</v>
      </c>
      <c r="K123" s="280">
        <v>90</v>
      </c>
      <c r="L123" s="280">
        <v>0</v>
      </c>
      <c r="BB123" s="369" t="s">
        <v>442</v>
      </c>
      <c r="BC123" s="344" t="s">
        <v>382</v>
      </c>
      <c r="BD123" s="344" t="s">
        <v>711</v>
      </c>
      <c r="BE123" s="370">
        <v>42</v>
      </c>
      <c r="BF123" s="370">
        <v>36</v>
      </c>
      <c r="BG123" s="370">
        <v>24</v>
      </c>
      <c r="BH123" s="370">
        <v>18</v>
      </c>
      <c r="BI123" s="370">
        <v>12</v>
      </c>
      <c r="BJ123" s="370">
        <v>6</v>
      </c>
      <c r="BK123" s="371">
        <v>0</v>
      </c>
      <c r="BL123" s="305"/>
      <c r="BM123" s="332" t="str">
        <f t="shared" si="10"/>
        <v>concentré jeunes porcins</v>
      </c>
      <c r="BN123" s="333">
        <f t="array" ref="BN123">SUM((IF(QualitéAlimentsBisonneauxMâles_0_3_mois=BONNE,VLOOKUP("concentré jeunes porcins",AlimentsRationHivernaleBisonsMâles,8,FALSE),0)+(IF(QualitéAlimentsBisonneauxFemelles_0_3_mois=BONNE,VLOOKUP("concentré jeunes porcins",AlimentsRationHivernaleBisonsFemelles,8,FALSE),0)+(IF(QualitéAlimentsBisonneauxMâles_3_6_mois=BONNE,VLOOKUP("concentré jeunes porcins",AlimentsRationHivernaleBisonsMâles,7,FALSE),0)+(IF(QualitéAlimentsBisonneauxFemelles_3_6_mois=BONNE,VLOOKUP("concentré jeunes porcins",AlimentsRationHivernaleBisonsFemelles,7,FALSE),0)+(IF(QualitéAlimentsBisonneauxMâles_6_12_mois=BONNE,VLOOKUP("concentré jeunes porcins",AlimentsRationHivernaleBisonsMâles,6,FALSE),0)+(IF(QualitéAlimentsBisonneauxFemelles_6_12_mois=BONNE,VLOOKUP("concentré jeunes porcins",AlimentsRationHivernaleBisonsFemelles,6,FALSE),0)+(IF(QualitéAlimentsJeunesBisons_12_18_mois=BONNE,VLOOKUP("concentré jeunes porcins",AlimentsRationHivernaleBisonsMâles,5,FALSE),0)+(IF(QualitéAlimentsJeunesBisonnes_12_18_mois=BONNE,VLOOKUP("concentré jeunes porcins",AlimentsRationHivernaleBisonsFemelles,5,FALSE),0)+(IF(QualitéAlimentsJeunesBisons_18_24_mois=BONNE,VLOOKUP("concentré jeunes porcins",AlimentsRationHivernaleBisonsMâles,4,FALSE),0)+(IF(QualitéAlimentsJeunesBisonnes_18_24_mois=BONNE,VLOOKUP("concentré jeunes porcins",AlimentsRationHivernaleBisonsFemelles,4,FALSE),0)+(IF(QualitéAlimentsJeunesBisons_24_36_mois=BONNE,VLOOKUP("concentré jeunes porcins",AlimentsRationHivernaleBisonsMâles,3,FALSE),0)+(IF(QualitéAlimentsJeunesBisonnes_24_36_mois=BONNE,VLOOKUP("concentré jeunes porcins",AlimentsRationHivernaleBisonsFemelles,3,FALSE),0)+(IF(QualitéAlimentsBisons=BONNE,VLOOKUP("concentré jeunes porcins",AlimentsRationHivernaleBisonsMâles,2,FALSE),0)+(IF(QualitéAlimentsBisonnes=BONNE,VLOOKUP("concentré jeunes porcins",AlimentsRationHivernaleBisonsFemelles,2,FALSE),0))))))))))))))))</f>
        <v>0</v>
      </c>
      <c r="BO123" s="333">
        <f t="array" ref="BO123">SUM((IF(QualitéAlimentsBisonneauxMâles_0_3_mois=MOYENNE,VLOOKUP("concentré jeunes porcins",AlimentsRationHivernaleBisonsMâles,8,FALSE),0)+(IF(QualitéAlimentsBisonneauxFemelles_0_3_mois=MOYENNE,VLOOKUP("concentré jeunes porcins",AlimentsRationHivernaleBisonsFemelles,8,FALSE),0)+(IF(QualitéAlimentsBisonneauxMâles_3_6_mois=MOYENNE,VLOOKUP("concentré jeunes porcins",AlimentsRationHivernaleBisonsMâles,7,FALSE),0)+(IF(QualitéAlimentsBisonneauxFemelles_3_6_mois=MOYENNE,VLOOKUP("concentré jeunes porcins",AlimentsRationHivernaleBisonsFemelles,7,FALSE),0)+(IF(QualitéAlimentsBisonneauxMâles_6_12_mois=MOYENNE,VLOOKUP("concentré jeunes porcins",AlimentsRationHivernaleBisonsMâles,6,FALSE),0)+(IF(QualitéAlimentsBisonneauxFemelles_6_12_mois=MOYENNE,VLOOKUP("concentré jeunes porcins",AlimentsRationHivernaleBisonsFemelles,6,FALSE),0)+(IF(QualitéAlimentsJeunesBisons_12_18_mois=MOYENNE,VLOOKUP("concentré jeunes porcins",AlimentsRationHivernaleBisonsMâles,5,FALSE),0)+(IF(QualitéAlimentsJeunesBisonnes_12_18_mois=MOYENNE,VLOOKUP("concentré jeunes porcins",AlimentsRationHivernaleBisonsFemelles,5,FALSE),0)+(IF(QualitéAlimentsJeunesBisons_18_24_mois=MOYENNE,VLOOKUP("concentré jeunes porcins",AlimentsRationHivernaleBisonsMâles,4,FALSE),0)+(IF(QualitéAlimentsJeunesBisonnes_18_24_mois=MOYENNE,VLOOKUP("concentré jeunes porcins",AlimentsRationHivernaleBisonsFemelles,4,FALSE),0)+(IF(QualitéAlimentsJeunesBisons_24_36_mois=MOYENNE,VLOOKUP("concentré jeunes porcins",AlimentsRationHivernaleBisonsMâles,3,FALSE),0)+(IF(QualitéAlimentsJeunesBisonnes_24_36_mois=MOYENNE,VLOOKUP("concentré jeunes porcins",AlimentsRationHivernaleBisonsFemelles,3,FALSE),0)+(IF(QualitéAlimentsBisons=MOYENNE,VLOOKUP("concentré jeunes porcins",AlimentsRationHivernaleBisonsMâles,2,FALSE),0)+(IF(QualitéAlimentsBisonnes=MOYENNE,VLOOKUP("concentré jeunes porcins",AlimentsRationHivernaleBisonsFemelles,2,FALSE),0))))))))))))))))</f>
        <v>0</v>
      </c>
      <c r="BP123" s="333">
        <f t="array" ref="BP123">SUM((IF(QualitéAlimentsBisonneauxMâles_0_3_mois=MAUVAISE,VLOOKUP("concentré jeunes porcins",AlimentsRationHivernaleBisonsMâles,8,FALSE),0)+(IF(QualitéAlimentsBisonneauxFemelles_0_3_mois=MAUVAISE,VLOOKUP("concentré jeunes porcins",AlimentsRationHivernaleBisonsFemelles,8,FALSE),0)+(IF(QualitéAlimentsBisonneauxMâles_3_6_mois=MAUVAISE,VLOOKUP("concentré jeunes porcins",AlimentsRationHivernaleBisonsMâles,7,FALSE),0)+(IF(QualitéAlimentsBisonneauxFemelles_3_6_mois=MAUVAISE,VLOOKUP("concentré jeunes porcins",AlimentsRationHivernaleBisonsFemelles,7,FALSE),0)+(IF(QualitéAlimentsBisonneauxMâles_6_12_mois=MAUVAISE,VLOOKUP("concentré jeunes porcins",AlimentsRationHivernaleBisonsMâles,6,FALSE),0)+(IF(QualitéAlimentsBisonneauxFemelles_6_12_mois=MAUVAISE,VLOOKUP("concentré jeunes porcins",AlimentsRationHivernaleBisonsFemelles,6,FALSE),0)+(IF(QualitéAlimentsJeunesBisons_12_18_mois=MAUVAISE,VLOOKUP("concentré jeunes porcins",AlimentsRationHivernaleBisonsMâles,5,FALSE),0)+(IF(QualitéAlimentsJeunesBisonnes_12_18_mois=MAUVAISE,VLOOKUP("concentré jeunes porcins",AlimentsRationHivernaleBisonsFemelles,5,FALSE),0)+(IF(QualitéAlimentsJeunesBisons_18_24_mois=MAUVAISE,VLOOKUP("concentré jeunes porcins",AlimentsRationHivernaleBisonsMâles,4,FALSE),0)+(IF(QualitéAlimentsJeunesBisonnes_18_24_mois=MAUVAISE,VLOOKUP("concentré jeunes porcins",AlimentsRationHivernaleBisonsFemelles,4,FALSE),0)+(IF(QualitéAlimentsJeunesBisons_24_36_mois=MAUVAISE,VLOOKUP("concentré jeunes porcins",AlimentsRationHivernaleBisonsMâles,3,FALSE),0)+(IF(QualitéAlimentsJeunesBisonnes_24_36_mois=MAUVAISE,VLOOKUP("concentré jeunes porcins",AlimentsRationHivernaleBisonsFemelles,3,FALSE),0)+(IF(QualitéAlimentsBisons=MAUVAISE,VLOOKUP("concentré jeunes porcins",AlimentsRationHivernaleBisonsMâles,2,FALSE),0)+(IF(QualitéAlimentsBisonnes=MAUVAISE,VLOOKUP("concentré jeunes porcins",AlimentsRationHivernaleBisonsFemelles,2,FALSE),0))))))))))))))))</f>
        <v>0</v>
      </c>
      <c r="BQ123" s="282"/>
      <c r="BR123" s="282"/>
      <c r="BS123" s="282"/>
      <c r="BT123" s="282"/>
      <c r="BU123" s="282"/>
      <c r="BX123" s="332" t="s">
        <v>190</v>
      </c>
      <c r="BY123" s="332">
        <f t="array" ref="BY123">IF(ChoixRationComplèteCaprins=OUI,0,IFERROR(IF(OR(AND(INDEX(Règles_caprins[Specificite],MATCH(ChoixRationCaprins&amp;$BX123,Règles_caprins[Ration]&amp;Règles_caprins[Aliment],0))="s1",IF($BX123=Spécificité1Caprins,1)),
INDEX(Règles_caprins[Specificite],MATCH(ChoixRationCaprins&amp;$BX123,Règles_caprins[Ration]&amp;Règles_caprins[Aliment],0))="c"),
INDEX(Règles_caprins[Valeur 12 et plus],MATCH(ChoixRationCaprins&amp;$BX123,Règles_caprins[Ration]&amp;Règles_caprins[Aliment],0)),0),0)*TotalBoucs*NbreJoursNourrirCaprins)</f>
        <v>0</v>
      </c>
      <c r="BZ123" s="332">
        <f t="array" ref="BZ123">IF(ChoixRationComplèteCaprins=OUI,0,IFERROR(IF(OR(AND(INDEX(Règles_caprins[Specificite],MATCH(ChoixRationCaprins&amp;$BX123,Règles_caprins[Ration]&amp;Règles_caprins[Aliment],0))="s1",IF($BX123=Spécificité1Caprins,1)),
INDEX(Règles_caprins[Specificite],MATCH(ChoixRationCaprins&amp;$BX123,Règles_caprins[Ration]&amp;Règles_caprins[Aliment],0))="c"),
INDEX(Règles_caprins[Valeur 6-12],MATCH(ChoixRationCaprins&amp;$BX123,Règles_caprins[Ration]&amp;Règles_caprins[Aliment],0)),0),0)*jeune_bouc_6_12_mois*NbreJoursNourrirCaprins)</f>
        <v>0</v>
      </c>
      <c r="CA123" s="332">
        <f t="array" ref="CA123">IF(ChoixRationComplèteCaprins=OUI,0,IFERROR(IF(OR(AND(INDEX(Règles_caprins[Specificite],MATCH(ChoixRationCaprins&amp;$BX123,Règles_caprins[Ration]&amp;Règles_caprins[Aliment],0))="s1",IF($BX123=Spécificité1Caprins,1)),
INDEX(Règles_caprins[Specificite],MATCH(ChoixRationCaprins&amp;$BX123,Règles_caprins[Ration]&amp;Règles_caprins[Aliment],0))="c"),
INDEX(Règles_caprins[Valeur 3-6],MATCH(ChoixRationCaprins&amp;$BX123,Règles_caprins[Ration]&amp;Règles_caprins[Aliment],0)),0),0)*chevreau_3_6_mois*NbreJoursNourrirCaprins)</f>
        <v>0</v>
      </c>
      <c r="CB123" s="332">
        <f t="array" ref="CB123">IF(ChoixRationComplèteCaprins=OUI,0,IFERROR(IF(OR(AND(INDEX(Règles_caprins[Specificite],MATCH(ChoixRationCaprins&amp;$BX123,Règles_caprins[Ration]&amp;Règles_caprins[Aliment],0))="s1",IF($BX123=Spécificité1Caprins,1)),
INDEX(Règles_caprins[Specificite],MATCH(ChoixRationCaprins&amp;$BX123,Règles_caprins[Ration]&amp;Règles_caprins[Aliment],0))="c"),
INDEX(Règles_caprins[Valeur 0-3],MATCH(ChoixRationCaprins&amp;$BX123,Règles_caprins[Ration]&amp;Règles_caprins[Aliment],0)),0),0)*chevreau_0_3_mois*NbreJoursNourrirCaprins)</f>
        <v>0</v>
      </c>
      <c r="CC123" s="332">
        <f t="shared" si="9"/>
        <v>0</v>
      </c>
      <c r="CH123" s="276"/>
    </row>
    <row r="124" spans="1:86" ht="12.75" customHeight="1" x14ac:dyDescent="0.2">
      <c r="A124" s="355" t="s">
        <v>289</v>
      </c>
      <c r="B124" s="362">
        <f t="shared" si="8"/>
        <v>1E-3</v>
      </c>
      <c r="BB124" s="369" t="s">
        <v>442</v>
      </c>
      <c r="BC124" s="344" t="s">
        <v>383</v>
      </c>
      <c r="BD124" s="344" t="s">
        <v>712</v>
      </c>
      <c r="BE124" s="370">
        <v>7.2</v>
      </c>
      <c r="BF124" s="370">
        <v>6</v>
      </c>
      <c r="BG124" s="370">
        <v>4</v>
      </c>
      <c r="BH124" s="370">
        <v>2</v>
      </c>
      <c r="BI124" s="370">
        <v>1.2</v>
      </c>
      <c r="BJ124" s="370">
        <v>0.6</v>
      </c>
      <c r="BK124" s="371">
        <v>0</v>
      </c>
      <c r="BL124" s="305"/>
      <c r="BM124" s="332" t="str">
        <f t="shared" si="10"/>
        <v>Ensilage d'herbe</v>
      </c>
      <c r="BN124" s="333">
        <f t="array" ref="BN124">SUM((IF(QualitéAlimentsBisonneauxMâles_0_3_mois=BONNE,VLOOKUP("ensilage d'herbe",AlimentsRationHivernaleBisonsMâles,8,FALSE),0)+(IF(QualitéAlimentsBisonneauxFemelles_0_3_mois=BONNE,VLOOKUP("ensilage d'herbe",AlimentsRationHivernaleBisonsFemelles,8,FALSE),0)+(IF(QualitéAlimentsBisonneauxMâles_3_6_mois=BONNE,VLOOKUP("ensilage d'herbe",AlimentsRationHivernaleBisonsMâles,7,FALSE),0)+(IF(QualitéAlimentsBisonneauxFemelles_3_6_mois=BONNE,VLOOKUP("ensilage d'herbe",AlimentsRationHivernaleBisonsFemelles,7,FALSE),0)+(IF(QualitéAlimentsBisonneauxMâles_6_12_mois=BONNE,VLOOKUP("ensilage d'herbe",AlimentsRationHivernaleBisonsMâles,6,FALSE),0)+(IF(QualitéAlimentsBisonneauxFemelles_6_12_mois=BONNE,VLOOKUP("ensilage d'herbe",AlimentsRationHivernaleBisonsFemelles,6,FALSE),0)+(IF(QualitéAlimentsJeunesBisons_12_18_mois=BONNE,VLOOKUP("ensilage d'herbe",AlimentsRationHivernaleBisonsMâles,5,FALSE),0)+(IF(QualitéAlimentsJeunesBisonnes_12_18_mois=BONNE,VLOOKUP("ensilage d'herbe",AlimentsRationHivernaleBisonsFemelles,5,FALSE),0)+(IF(QualitéAlimentsJeunesBisons_18_24_mois=BONNE,VLOOKUP("ensilage d'herbe",AlimentsRationHivernaleBisonsMâles,4,FALSE),0)+(IF(QualitéAlimentsJeunesBisonnes_18_24_mois=BONNE,VLOOKUP("ensilage d'herbe",AlimentsRationHivernaleBisonsFemelles,4,FALSE),0)+(IF(QualitéAlimentsJeunesBisons_24_36_mois=BONNE,VLOOKUP("ensilage d'herbe",AlimentsRationHivernaleBisonsMâles,3,FALSE),0)+(IF(QualitéAlimentsJeunesBisonnes_24_36_mois=BONNE,VLOOKUP("ensilage d'herbe",AlimentsRationHivernaleBisonsFemelles,3,FALSE),0)+(IF(QualitéAlimentsBisons=BONNE,VLOOKUP("ensilage d'herbe",AlimentsRationHivernaleBisonsMâles,2,FALSE),0)+(IF(QualitéAlimentsBisonnes=BONNE,VLOOKUP("ensilage d'herbe",AlimentsRationHivernaleBisonsFemelles,2,FALSE),0))))))))))))))))</f>
        <v>0</v>
      </c>
      <c r="BO124" s="333">
        <f t="array" ref="BO124">SUM((IF(QualitéAlimentsBisonneauxMâles_0_3_mois=MOYENNE,VLOOKUP("ensilage d'herbe",AlimentsRationHivernaleBisonsMâles,8,FALSE),0)+(IF(QualitéAlimentsBisonneauxFemelles_0_3_mois=MOYENNE,VLOOKUP("ensilage d'herbe",AlimentsRationHivernaleBisonsFemelles,8,FALSE),0)+(IF(QualitéAlimentsBisonneauxMâles_3_6_mois=MOYENNE,VLOOKUP("ensilage d'herbe",AlimentsRationHivernaleBisonsMâles,7,FALSE),0)+(IF(QualitéAlimentsBisonneauxFemelles_3_6_mois=MOYENNE,VLOOKUP("ensilage d'herbe",AlimentsRationHivernaleBisonsFemelles,7,FALSE),0)+(IF(QualitéAlimentsBisonneauxMâles_6_12_mois=MOYENNE,VLOOKUP("ensilage d'herbe",AlimentsRationHivernaleBisonsMâles,6,FALSE),0)+(IF(QualitéAlimentsBisonneauxFemelles_6_12_mois=MOYENNE,VLOOKUP("ensilage d'herbe",AlimentsRationHivernaleBisonsFemelles,6,FALSE),0)+(IF(QualitéAlimentsJeunesBisons_12_18_mois=MOYENNE,VLOOKUP("ensilage d'herbe",AlimentsRationHivernaleBisonsMâles,5,FALSE),0)+(IF(QualitéAlimentsJeunesBisonnes_12_18_mois=MOYENNE,VLOOKUP("ensilage d'herbe",AlimentsRationHivernaleBisonsFemelles,5,FALSE),0)+(IF(QualitéAlimentsJeunesBisons_18_24_mois=MOYENNE,VLOOKUP("ensilage d'herbe",AlimentsRationHivernaleBisonsMâles,4,FALSE),0)+(IF(QualitéAlimentsJeunesBisonnes_18_24_mois=MOYENNE,VLOOKUP("ensilage d'herbe",AlimentsRationHivernaleBisonsFemelles,4,FALSE),0)+(IF(QualitéAlimentsJeunesBisons_24_36_mois=MOYENNE,VLOOKUP("ensilage d'herbe",AlimentsRationHivernaleBisonsMâles,3,FALSE),0)+(IF(QualitéAlimentsJeunesBisonnes_24_36_mois=MOYENNE,VLOOKUP("ensilage d'herbe",AlimentsRationHivernaleBisonsFemelles,3,FALSE),0)+(IF(QualitéAlimentsBisons=MOYENNE,VLOOKUP("ensilage d'herbe",AlimentsRationHivernaleBisonsMâles,2,FALSE),0)+(IF(QualitéAlimentsBisonnes=MOYENNE,VLOOKUP("ensilage d'herbe",AlimentsRationHivernaleBisonsFemelles,2,FALSE),0))))))))))))))))</f>
        <v>0</v>
      </c>
      <c r="BP124" s="333">
        <f t="array" ref="BP124">SUM((IF(QualitéAlimentsBisonneauxMâles_0_3_mois=MAUVAISE,VLOOKUP("ensilage d'herbe",AlimentsRationHivernaleBisonsMâles,8,FALSE),0)+(IF(QualitéAlimentsBisonneauxFemelles_0_3_mois=MAUVAISE,VLOOKUP("ensilage d'herbe",AlimentsRationHivernaleBisonsFemelles,8,FALSE),0)+(IF(QualitéAlimentsBisonneauxMâles_3_6_mois=MAUVAISE,VLOOKUP("ensilage d'herbe",AlimentsRationHivernaleBisonsMâles,7,FALSE),0)+(IF(QualitéAlimentsBisonneauxFemelles_3_6_mois=MAUVAISE,VLOOKUP("ensilage d'herbe",AlimentsRationHivernaleBisonsFemelles,7,FALSE),0)+(IF(QualitéAlimentsBisonneauxMâles_6_12_mois=MAUVAISE,VLOOKUP("ensilage d'herbe",AlimentsRationHivernaleBisonsMâles,6,FALSE),0)+(IF(QualitéAlimentsBisonneauxFemelles_6_12_mois=MAUVAISE,VLOOKUP("ensilage d'herbe",AlimentsRationHivernaleBisonsFemelles,6,FALSE),0)+(IF(QualitéAlimentsJeunesBisons_12_18_mois=MAUVAISE,VLOOKUP("ensilage d'herbe",AlimentsRationHivernaleBisonsMâles,5,FALSE),0)+(IF(QualitéAlimentsJeunesBisonnes_12_18_mois=MAUVAISE,VLOOKUP("ensilage d'herbe",AlimentsRationHivernaleBisonsFemelles,5,FALSE),0)+(IF(QualitéAlimentsJeunesBisons_18_24_mois=MAUVAISE,VLOOKUP("ensilage d'herbe",AlimentsRationHivernaleBisonsMâles,4,FALSE),0)+(IF(QualitéAlimentsJeunesBisonnes_18_24_mois=MAUVAISE,VLOOKUP("ensilage d'herbe",AlimentsRationHivernaleBisonsFemelles,4,FALSE),0)+(IF(QualitéAlimentsJeunesBisons_24_36_mois=MAUVAISE,VLOOKUP("ensilage d'herbe",AlimentsRationHivernaleBisonsMâles,3,FALSE),0)+(IF(QualitéAlimentsJeunesBisonnes_24_36_mois=MAUVAISE,VLOOKUP("ensilage d'herbe",AlimentsRationHivernaleBisonsFemelles,3,FALSE),0)+(IF(QualitéAlimentsBisons=MAUVAISE,VLOOKUP("ensilage d'herbe",AlimentsRationHivernaleBisonsMâles,2,FALSE),0)+(IF(QualitéAlimentsBisonnes=MAUVAISE,VLOOKUP("ensilage d'herbe",AlimentsRationHivernaleBisonsFemelles,2,FALSE),0))))))))))))))))</f>
        <v>0</v>
      </c>
      <c r="BQ124" s="282"/>
      <c r="BR124" s="282"/>
      <c r="BS124" s="282"/>
      <c r="BT124" s="282"/>
      <c r="BU124" s="282"/>
      <c r="BX124" s="332" t="s">
        <v>189</v>
      </c>
      <c r="BY124" s="332">
        <f t="array" ref="BY124">IF(ChoixRationComplèteCaprins=OUI,0,IFERROR(IF(OR(AND(INDEX(Règles_caprins[Specificite],MATCH(ChoixRationCaprins&amp;$BX124,Règles_caprins[Ration]&amp;Règles_caprins[Aliment],0))="s1",IF($BX124=Spécificité1Caprins,1)),
INDEX(Règles_caprins[Specificite],MATCH(ChoixRationCaprins&amp;$BX124,Règles_caprins[Ration]&amp;Règles_caprins[Aliment],0))="c"),
INDEX(Règles_caprins[Valeur 12 et plus],MATCH(ChoixRationCaprins&amp;$BX124,Règles_caprins[Ration]&amp;Règles_caprins[Aliment],0)),0),0)*TotalBoucs*NbreJoursNourrirCaprins)</f>
        <v>0</v>
      </c>
      <c r="BZ124" s="332">
        <f t="array" ref="BZ124">IF(ChoixRationComplèteCaprins=OUI,0,IFERROR(IF(OR(AND(INDEX(Règles_caprins[Specificite],MATCH(ChoixRationCaprins&amp;$BX124,Règles_caprins[Ration]&amp;Règles_caprins[Aliment],0))="s1",IF($BX124=Spécificité1Caprins,1)),
INDEX(Règles_caprins[Specificite],MATCH(ChoixRationCaprins&amp;$BX124,Règles_caprins[Ration]&amp;Règles_caprins[Aliment],0))="c"),
INDEX(Règles_caprins[Valeur 6-12],MATCH(ChoixRationCaprins&amp;$BX124,Règles_caprins[Ration]&amp;Règles_caprins[Aliment],0)),0),0)*jeune_bouc_6_12_mois*NbreJoursNourrirCaprins)</f>
        <v>0</v>
      </c>
      <c r="CA124" s="332">
        <f t="array" ref="CA124">IF(ChoixRationComplèteCaprins=OUI,0,IFERROR(IF(OR(AND(INDEX(Règles_caprins[Specificite],MATCH(ChoixRationCaprins&amp;$BX124,Règles_caprins[Ration]&amp;Règles_caprins[Aliment],0))="s1",IF($BX124=Spécificité1Caprins,1)),
INDEX(Règles_caprins[Specificite],MATCH(ChoixRationCaprins&amp;$BX124,Règles_caprins[Ration]&amp;Règles_caprins[Aliment],0))="c"),
INDEX(Règles_caprins[Valeur 3-6],MATCH(ChoixRationCaprins&amp;$BX124,Règles_caprins[Ration]&amp;Règles_caprins[Aliment],0)),0),0)*chevreau_3_6_mois*NbreJoursNourrirCaprins)</f>
        <v>0</v>
      </c>
      <c r="CB124" s="332">
        <f t="array" ref="CB124">IF(ChoixRationComplèteCaprins=OUI,0,IFERROR(IF(OR(AND(INDEX(Règles_caprins[Specificite],MATCH(ChoixRationCaprins&amp;$BX124,Règles_caprins[Ration]&amp;Règles_caprins[Aliment],0))="s1",IF($BX124=Spécificité1Caprins,1)),
INDEX(Règles_caprins[Specificite],MATCH(ChoixRationCaprins&amp;$BX124,Règles_caprins[Ration]&amp;Règles_caprins[Aliment],0))="c"),
INDEX(Règles_caprins[Valeur 0-3],MATCH(ChoixRationCaprins&amp;$BX124,Règles_caprins[Ration]&amp;Règles_caprins[Aliment],0)),0),0)*chevreau_0_3_mois*NbreJoursNourrirCaprins)</f>
        <v>0</v>
      </c>
      <c r="CC124" s="332">
        <f t="shared" si="9"/>
        <v>0</v>
      </c>
      <c r="CH124" s="276"/>
    </row>
    <row r="125" spans="1:86" ht="12.75" customHeight="1" x14ac:dyDescent="0.2">
      <c r="A125" s="355" t="s">
        <v>167</v>
      </c>
      <c r="B125" s="362">
        <f t="shared" si="8"/>
        <v>1E-3</v>
      </c>
      <c r="BB125" s="369" t="s">
        <v>442</v>
      </c>
      <c r="BC125" s="344" t="s">
        <v>160</v>
      </c>
      <c r="BD125" s="344" t="s">
        <v>712</v>
      </c>
      <c r="BE125" s="370">
        <v>7.2</v>
      </c>
      <c r="BF125" s="370">
        <v>6</v>
      </c>
      <c r="BG125" s="370">
        <v>4</v>
      </c>
      <c r="BH125" s="370">
        <v>2</v>
      </c>
      <c r="BI125" s="370">
        <v>1.2</v>
      </c>
      <c r="BJ125" s="370">
        <v>0.6</v>
      </c>
      <c r="BK125" s="371">
        <v>0</v>
      </c>
      <c r="BL125" s="305"/>
      <c r="BM125" s="332" t="str">
        <f t="shared" si="10"/>
        <v>Eau</v>
      </c>
      <c r="BN125" s="333">
        <f t="array" ref="BN125">SUM((IF(QualitéAlimentsBisonneauxMâles_0_3_mois=BONNE,VLOOKUP("eau",AlimentsRationHivernaleBisonsMâles,8,FALSE),0)+(IF(QualitéAlimentsBisonneauxFemelles_0_3_mois=BONNE,VLOOKUP("eau",AlimentsRationHivernaleBisonsFemelles,8,FALSE),0)+(IF(QualitéAlimentsBisonneauxMâles_3_6_mois=BONNE,VLOOKUP("eau",AlimentsRationHivernaleBisonsMâles,7,FALSE),0)+(IF(QualitéAlimentsBisonneauxFemelles_3_6_mois=BONNE,VLOOKUP("eau",AlimentsRationHivernaleBisonsFemelles,7,FALSE),0)+(IF(QualitéAlimentsBisonneauxMâles_6_12_mois=BONNE,VLOOKUP("eau",AlimentsRationHivernaleBisonsMâles,6,FALSE),0)+(IF(QualitéAlimentsBisonneauxFemelles_6_12_mois=BONNE,VLOOKUP("eau",AlimentsRationHivernaleBisonsFemelles,6,FALSE),0)+(IF(QualitéAlimentsJeunesBisons_12_18_mois=BONNE,VLOOKUP("eau",AlimentsRationHivernaleBisonsMâles,5,FALSE),0)+(IF(QualitéAlimentsJeunesBisonnes_12_18_mois=BONNE,VLOOKUP("eau",AlimentsRationHivernaleBisonsFemelles,5,FALSE),0)+(IF(QualitéAlimentsJeunesBisons_18_24_mois=BONNE,VLOOKUP("eau",AlimentsRationHivernaleBisonsMâles,4,FALSE),0)+(IF(QualitéAlimentsJeunesBisonnes_18_24_mois=BONNE,VLOOKUP("eau",AlimentsRationHivernaleBisonsFemelles,4,FALSE),0)+(IF(QualitéAlimentsJeunesBisons_24_36_mois=BONNE,VLOOKUP("eau",AlimentsRationHivernaleBisonsMâles,3,FALSE),0)+(IF(QualitéAlimentsJeunesBisonnes_24_36_mois=BONNE,VLOOKUP("eau",AlimentsRationHivernaleBisonsFemelles,3,FALSE),0)+(IF(QualitéAlimentsBisons=BONNE,VLOOKUP("eau",AlimentsRationHivernaleBisonsMâles,2,FALSE),0)+(IF(QualitéAlimentsBisonnes=BONNE,VLOOKUP("eau",AlimentsRationHivernaleBisonsFemelles,2,FALSE),0))))))))))))))))</f>
        <v>0</v>
      </c>
      <c r="BO125" s="333">
        <f t="array" ref="BO125">SUM((IF(QualitéAlimentsBisonneauxMâles_0_3_mois=MOYENNE,VLOOKUP("eau",AlimentsRationHivernaleBisonsMâles,8,FALSE),0)+(IF(QualitéAlimentsBisonneauxFemelles_0_3_mois=MOYENNE,VLOOKUP("eau",AlimentsRationHivernaleBisonsFemelles,8,FALSE),0)+(IF(QualitéAlimentsBisonneauxMâles_3_6_mois=MOYENNE,VLOOKUP("eau",AlimentsRationHivernaleBisonsMâles,7,FALSE),0)+(IF(QualitéAlimentsBisonneauxFemelles_3_6_mois=MOYENNE,VLOOKUP("eau",AlimentsRationHivernaleBisonsFemelles,7,FALSE),0)+(IF(QualitéAlimentsBisonneauxMâles_6_12_mois=MOYENNE,VLOOKUP("eau",AlimentsRationHivernaleBisonsMâles,6,FALSE),0)+(IF(QualitéAlimentsBisonneauxFemelles_6_12_mois=MOYENNE,VLOOKUP("eau",AlimentsRationHivernaleBisonsFemelles,6,FALSE),0)+(IF(QualitéAlimentsJeunesBisons_12_18_mois=MOYENNE,VLOOKUP("eau",AlimentsRationHivernaleBisonsMâles,5,FALSE),0)+(IF(QualitéAlimentsJeunesBisonnes_12_18_mois=MOYENNE,VLOOKUP("eau",AlimentsRationHivernaleBisonsFemelles,5,FALSE),0)+(IF(QualitéAlimentsJeunesBisons_18_24_mois=MOYENNE,VLOOKUP("eau",AlimentsRationHivernaleBisonsMâles,4,FALSE),0)+(IF(QualitéAlimentsJeunesBisonnes_18_24_mois=MOYENNE,VLOOKUP("eau",AlimentsRationHivernaleBisonsFemelles,4,FALSE),0)+(IF(QualitéAlimentsJeunesBisons_24_36_mois=MOYENNE,VLOOKUP("eau",AlimentsRationHivernaleBisonsMâles,3,FALSE),0)+(IF(QualitéAlimentsJeunesBisonnes_24_36_mois=MOYENNE,VLOOKUP("eau",AlimentsRationHivernaleBisonsFemelles,3,FALSE),0)+(IF(QualitéAlimentsBisons=MOYENNE,VLOOKUP("eau",AlimentsRationHivernaleBisonsMâles,2,FALSE),0)+(IF(QualitéAlimentsBisonnes=MOYENNE,VLOOKUP("eau",AlimentsRationHivernaleBisonsFemelles,2,FALSE),0))))))))))))))))</f>
        <v>0</v>
      </c>
      <c r="BP125" s="333">
        <f t="array" ref="BP125">SUM((IF(QualitéAlimentsBisonneauxMâles_0_3_mois=MAUVAISE,VLOOKUP("eau",AlimentsRationHivernaleBisonsMâles,8,FALSE),0)+(IF(QualitéAlimentsBisonneauxFemelles_0_3_mois=MAUVAISE,VLOOKUP("eau",AlimentsRationHivernaleBisonsFemelles,8,FALSE),0)+(IF(QualitéAlimentsBisonneauxMâles_3_6_mois=MAUVAISE,VLOOKUP("eau",AlimentsRationHivernaleBisonsMâles,7,FALSE),0)+(IF(QualitéAlimentsBisonneauxFemelles_3_6_mois=MAUVAISE,VLOOKUP("eau",AlimentsRationHivernaleBisonsFemelles,7,FALSE),0)+(IF(QualitéAlimentsBisonneauxMâles_6_12_mois=MAUVAISE,VLOOKUP("eau",AlimentsRationHivernaleBisonsMâles,6,FALSE),0)+(IF(QualitéAlimentsBisonneauxFemelles_6_12_mois=MAUVAISE,VLOOKUP("eau",AlimentsRationHivernaleBisonsFemelles,6,FALSE),0)+(IF(QualitéAlimentsJeunesBisons_12_18_mois=MAUVAISE,VLOOKUP("eau",AlimentsRationHivernaleBisonsMâles,5,FALSE),0)+(IF(QualitéAlimentsJeunesBisonnes_12_18_mois=MAUVAISE,VLOOKUP("eau",AlimentsRationHivernaleBisonsFemelles,5,FALSE),0)+(IF(QualitéAlimentsJeunesBisons_18_24_mois=MAUVAISE,VLOOKUP("eau",AlimentsRationHivernaleBisonsMâles,4,FALSE),0)+(IF(QualitéAlimentsJeunesBisonnes_18_24_mois=MAUVAISE,VLOOKUP("eau",AlimentsRationHivernaleBisonsFemelles,4,FALSE),0)+(IF(QualitéAlimentsJeunesBisons_24_36_mois=MAUVAISE,VLOOKUP("eau",AlimentsRationHivernaleBisonsMâles,3,FALSE),0)+(IF(QualitéAlimentsJeunesBisonnes_24_36_mois=MAUVAISE,VLOOKUP("eau",AlimentsRationHivernaleBisonsFemelles,3,FALSE),0)+(IF(QualitéAlimentsBisons=MAUVAISE,VLOOKUP("eau",AlimentsRationHivernaleBisonsMâles,2,FALSE),0)+(IF(QualitéAlimentsBisonnes=MAUVAISE,VLOOKUP("eau",AlimentsRationHivernaleBisonsFemelles,2,FALSE),0))))))))))))))))</f>
        <v>0</v>
      </c>
      <c r="BQ125" s="282"/>
      <c r="BR125" s="282"/>
      <c r="BS125" s="282"/>
      <c r="BT125" s="282"/>
      <c r="BU125" s="282"/>
      <c r="BX125" s="332" t="s">
        <v>730</v>
      </c>
      <c r="BY125" s="332">
        <f t="array" ref="BY125">IF(ChoixRationComplèteCaprins=OUI,0,IFERROR(IF(OR(AND(INDEX(Règles_caprins[Specificite],MATCH(ChoixRationCaprins&amp;$BX125,Règles_caprins[Ration]&amp;Règles_caprins[Aliment],0))="s1",IF($BX125=Spécificité1Caprins,1)),
INDEX(Règles_caprins[Specificite],MATCH(ChoixRationCaprins&amp;$BX125,Règles_caprins[Ration]&amp;Règles_caprins[Aliment],0))="c"),
INDEX(Règles_caprins[Valeur 12 et plus],MATCH(ChoixRationCaprins&amp;$BX125,Règles_caprins[Ration]&amp;Règles_caprins[Aliment],0)),0),0)*TotalBoucs*NbreJoursNourrirCaprins)</f>
        <v>0</v>
      </c>
      <c r="BZ125" s="332">
        <f t="array" ref="BZ125">IF(ChoixRationComplèteCaprins=OUI,0,IFERROR(IF(OR(AND(INDEX(Règles_caprins[Specificite],MATCH(ChoixRationCaprins&amp;$BX125,Règles_caprins[Ration]&amp;Règles_caprins[Aliment],0))="s1",IF($BX125=Spécificité1Caprins,1)),
INDEX(Règles_caprins[Specificite],MATCH(ChoixRationCaprins&amp;$BX125,Règles_caprins[Ration]&amp;Règles_caprins[Aliment],0))="c"),
INDEX(Règles_caprins[Valeur 6-12],MATCH(ChoixRationCaprins&amp;$BX125,Règles_caprins[Ration]&amp;Règles_caprins[Aliment],0)),0),0)*jeune_bouc_6_12_mois*NbreJoursNourrirCaprins)</f>
        <v>0</v>
      </c>
      <c r="CA125" s="332">
        <f t="array" ref="CA125">IF(ChoixRationComplèteCaprins=OUI,0,IFERROR(IF(OR(AND(INDEX(Règles_caprins[Specificite],MATCH(ChoixRationCaprins&amp;$BX125,Règles_caprins[Ration]&amp;Règles_caprins[Aliment],0))="s1",IF($BX125=Spécificité1Caprins,1)),
INDEX(Règles_caprins[Specificite],MATCH(ChoixRationCaprins&amp;$BX125,Règles_caprins[Ration]&amp;Règles_caprins[Aliment],0))="c"),
INDEX(Règles_caprins[Valeur 3-6],MATCH(ChoixRationCaprins&amp;$BX125,Règles_caprins[Ration]&amp;Règles_caprins[Aliment],0)),0),0)*chevreau_3_6_mois*NbreJoursNourrirCaprins)</f>
        <v>0</v>
      </c>
      <c r="CB125" s="332">
        <f t="array" ref="CB125">IF(ChoixRationComplèteCaprins=OUI,0,IFERROR(IF(OR(AND(INDEX(Règles_caprins[Specificite],MATCH(ChoixRationCaprins&amp;$BX125,Règles_caprins[Ration]&amp;Règles_caprins[Aliment],0))="s1",IF($BX125=Spécificité1Caprins,1)),
INDEX(Règles_caprins[Specificite],MATCH(ChoixRationCaprins&amp;$BX125,Règles_caprins[Ration]&amp;Règles_caprins[Aliment],0))="c"),
INDEX(Règles_caprins[Valeur 0-3],MATCH(ChoixRationCaprins&amp;$BX125,Règles_caprins[Ration]&amp;Règles_caprins[Aliment],0)),0),0)*chevreau_0_3_mois*NbreJoursNourrirCaprins)</f>
        <v>0</v>
      </c>
      <c r="CC125" s="332">
        <f t="shared" si="9"/>
        <v>0</v>
      </c>
      <c r="CH125" s="276"/>
    </row>
    <row r="126" spans="1:86" ht="12.75" customHeight="1" x14ac:dyDescent="0.2">
      <c r="A126" s="355" t="s">
        <v>13</v>
      </c>
      <c r="B126" s="362">
        <f t="shared" si="8"/>
        <v>1E-3</v>
      </c>
      <c r="BB126" s="369" t="s">
        <v>442</v>
      </c>
      <c r="BC126" s="344" t="s">
        <v>47</v>
      </c>
      <c r="BD126" s="344" t="s">
        <v>712</v>
      </c>
      <c r="BE126" s="370">
        <v>7.2</v>
      </c>
      <c r="BF126" s="370">
        <v>6</v>
      </c>
      <c r="BG126" s="370">
        <v>4</v>
      </c>
      <c r="BH126" s="370">
        <v>2</v>
      </c>
      <c r="BI126" s="370">
        <v>1.2</v>
      </c>
      <c r="BJ126" s="370">
        <v>0.6</v>
      </c>
      <c r="BK126" s="371">
        <v>0</v>
      </c>
      <c r="BL126" s="305"/>
      <c r="BM126" s="332" t="str">
        <f t="shared" si="10"/>
        <v>Epinard</v>
      </c>
      <c r="BN126" s="333">
        <f t="array" ref="BN126">SUM((IF(QualitéAlimentsBisonneauxMâles_0_3_mois=BONNE,VLOOKUP("Epinard",AlimentsRationHivernaleBisonsMâles,8,FALSE),0)+(IF(QualitéAlimentsBisonneauxFemelles_0_3_mois=BONNE,VLOOKUP("Epinard",AlimentsRationHivernaleBisonsFemelles,8,FALSE),0)+(IF(QualitéAlimentsBisonneauxMâles_3_6_mois=BONNE,VLOOKUP("Epinard",AlimentsRationHivernaleBisonsMâles,7,FALSE),0)+(IF(QualitéAlimentsBisonneauxFemelles_3_6_mois=BONNE,VLOOKUP("Epinard",AlimentsRationHivernaleBisonsFemelles,7,FALSE),0)+(IF(QualitéAlimentsBisonneauxMâles_6_12_mois=BONNE,VLOOKUP("Epinard",AlimentsRationHivernaleBisonsMâles,6,FALSE),0)+(IF(QualitéAlimentsBisonneauxFemelles_6_12_mois=BONNE,VLOOKUP("Epinard",AlimentsRationHivernaleBisonsFemelles,6,FALSE),0)+(IF(QualitéAlimentsJeunesBisons_12_18_mois=BONNE,VLOOKUP("Epinard",AlimentsRationHivernaleBisonsMâles,5,FALSE),0)+(IF(QualitéAlimentsJeunesBisonnes_12_18_mois=BONNE,VLOOKUP("Epinard",AlimentsRationHivernaleBisonsFemelles,5,FALSE),0)+(IF(QualitéAlimentsJeunesBisons_18_24_mois=BONNE,VLOOKUP("Epinard",AlimentsRationHivernaleBisonsMâles,4,FALSE),0)+(IF(QualitéAlimentsJeunesBisonnes_18_24_mois=BONNE,VLOOKUP("Epinard",AlimentsRationHivernaleBisonsFemelles,4,FALSE),0)+(IF(QualitéAlimentsJeunesBisons_24_36_mois=BONNE,VLOOKUP("Epinard",AlimentsRationHivernaleBisonsMâles,3,FALSE),0)+(IF(QualitéAlimentsJeunesBisonnes_24_36_mois=BONNE,VLOOKUP("Epinard",AlimentsRationHivernaleBisonsFemelles,3,FALSE),0)+(IF(QualitéAlimentsBisons=BONNE,VLOOKUP("Epinard",AlimentsRationHivernaleBisonsMâles,2,FALSE),0)+(IF(QualitéAlimentsBisonnes=BONNE,VLOOKUP("Epinard",AlimentsRationHivernaleBisonsFemelles,2,FALSE),0))))))))))))))))</f>
        <v>0</v>
      </c>
      <c r="BO126" s="333">
        <f t="array" ref="BO126">SUM((IF(QualitéAlimentsBisonneauxMâles_0_3_mois=MOYENNE,VLOOKUP("Epinard",AlimentsRationHivernaleBisonsMâles,8,FALSE),0)+(IF(QualitéAlimentsBisonneauxFemelles_0_3_mois=MOYENNE,VLOOKUP("Epinard",AlimentsRationHivernaleBisonsFemelles,8,FALSE),0)+(IF(QualitéAlimentsBisonneauxMâles_3_6_mois=MOYENNE,VLOOKUP("Epinard",AlimentsRationHivernaleBisonsMâles,7,FALSE),0)+(IF(QualitéAlimentsBisonneauxFemelles_3_6_mois=MOYENNE,VLOOKUP("Epinard",AlimentsRationHivernaleBisonsFemelles,7,FALSE),0)+(IF(QualitéAlimentsBisonneauxMâles_6_12_mois=MOYENNE,VLOOKUP("Epinard",AlimentsRationHivernaleBisonsMâles,6,FALSE),0)+(IF(QualitéAlimentsBisonneauxFemelles_6_12_mois=MOYENNE,VLOOKUP("Epinard",AlimentsRationHivernaleBisonsFemelles,6,FALSE),0)+(IF(QualitéAlimentsJeunesBisons_12_18_mois=MOYENNE,VLOOKUP("Epinard",AlimentsRationHivernaleBisonsMâles,5,FALSE),0)+(IF(QualitéAlimentsJeunesBisonnes_12_18_mois=MOYENNE,VLOOKUP("Epinard",AlimentsRationHivernaleBisonsFemelles,5,FALSE),0)+(IF(QualitéAlimentsJeunesBisons_18_24_mois=MOYENNE,VLOOKUP("Epinard",AlimentsRationHivernaleBisonsMâles,4,FALSE),0)+(IF(QualitéAlimentsJeunesBisonnes_18_24_mois=MOYENNE,VLOOKUP("Epinard",AlimentsRationHivernaleBisonsFemelles,4,FALSE),0)+(IF(QualitéAlimentsJeunesBisons_24_36_mois=MOYENNE,VLOOKUP("Epinard",AlimentsRationHivernaleBisonsMâles,3,FALSE),0)+(IF(QualitéAlimentsJeunesBisonnes_24_36_mois=MOYENNE,VLOOKUP("Epinard",AlimentsRationHivernaleBisonsFemelles,3,FALSE),0)+(IF(QualitéAlimentsBisons=MOYENNE,VLOOKUP("Epinard",AlimentsRationHivernaleBisonsMâles,2,FALSE),0)+(IF(QualitéAlimentsBisonnes=MOYENNE,VLOOKUP("Epinard",AlimentsRationHivernaleBisonsFemelles,2,FALSE),0))))))))))))))))</f>
        <v>0</v>
      </c>
      <c r="BP126" s="333">
        <f t="array" ref="BP126">SUM((IF(QualitéAlimentsBisonneauxMâles_0_3_mois=MAUVAISE,VLOOKUP("Epinard",AlimentsRationHivernaleBisonsMâles,8,FALSE),0)+(IF(QualitéAlimentsBisonneauxFemelles_0_3_mois=MAUVAISE,VLOOKUP("Epinard",AlimentsRationHivernaleBisonsFemelles,8,FALSE),0)+(IF(QualitéAlimentsBisonneauxMâles_3_6_mois=MAUVAISE,VLOOKUP("Epinard",AlimentsRationHivernaleBisonsMâles,7,FALSE),0)+(IF(QualitéAlimentsBisonneauxFemelles_3_6_mois=MAUVAISE,VLOOKUP("Epinard",AlimentsRationHivernaleBisonsFemelles,7,FALSE),0)+(IF(QualitéAlimentsBisonneauxMâles_6_12_mois=MAUVAISE,VLOOKUP("Epinard",AlimentsRationHivernaleBisonsMâles,6,FALSE),0)+(IF(QualitéAlimentsBisonneauxFemelles_6_12_mois=MAUVAISE,VLOOKUP("Epinard",AlimentsRationHivernaleBisonsFemelles,6,FALSE),0)+(IF(QualitéAlimentsJeunesBisons_12_18_mois=MAUVAISE,VLOOKUP("Epinard",AlimentsRationHivernaleBisonsMâles,5,FALSE),0)+(IF(QualitéAlimentsJeunesBisonnes_12_18_mois=MAUVAISE,VLOOKUP("Epinard",AlimentsRationHivernaleBisonsFemelles,5,FALSE),0)+(IF(QualitéAlimentsJeunesBisons_18_24_mois=MAUVAISE,VLOOKUP("Epinard",AlimentsRationHivernaleBisonsMâles,4,FALSE),0)+(IF(QualitéAlimentsJeunesBisonnes_18_24_mois=MAUVAISE,VLOOKUP("Epinard",AlimentsRationHivernaleBisonsFemelles,4,FALSE),0)+(IF(QualitéAlimentsJeunesBisons_24_36_mois=MAUVAISE,VLOOKUP("Epinard",AlimentsRationHivernaleBisonsMâles,3,FALSE),0)+(IF(QualitéAlimentsJeunesBisonnes_24_36_mois=MAUVAISE,VLOOKUP("Epinard",AlimentsRationHivernaleBisonsFemelles,3,FALSE),0)+(IF(QualitéAlimentsBisons=MAUVAISE,VLOOKUP("Epinard",AlimentsRationHivernaleBisonsMâles,2,FALSE),0)+(IF(QualitéAlimentsBisonnes=MAUVAISE,VLOOKUP("Epinard",AlimentsRationHivernaleBisonsFemelles,2,FALSE),0))))))))))))))))</f>
        <v>0</v>
      </c>
      <c r="BQ126" s="282"/>
      <c r="BR126" s="282"/>
      <c r="BS126" s="282"/>
      <c r="BT126" s="282"/>
      <c r="BU126" s="282"/>
      <c r="BX126" s="332" t="s">
        <v>383</v>
      </c>
      <c r="BY126" s="332">
        <f t="array" ref="BY126">IF(ChoixRationComplèteCaprins=OUI,0,IFERROR(IF(OR(AND(INDEX(Règles_caprins[Specificite],MATCH(ChoixRationCaprins&amp;$BX126,Règles_caprins[Ration]&amp;Règles_caprins[Aliment],0))="s1",IF($BX126=Spécificité1Caprins,1)),
INDEX(Règles_caprins[Specificite],MATCH(ChoixRationCaprins&amp;$BX126,Règles_caprins[Ration]&amp;Règles_caprins[Aliment],0))="c"),
INDEX(Règles_caprins[Valeur 12 et plus],MATCH(ChoixRationCaprins&amp;$BX126,Règles_caprins[Ration]&amp;Règles_caprins[Aliment],0)),0),0)*TotalBoucs*NbreJoursNourrirCaprins)</f>
        <v>0</v>
      </c>
      <c r="BZ126" s="332">
        <f t="array" ref="BZ126">IF(ChoixRationComplèteCaprins=OUI,0,IFERROR(IF(OR(AND(INDEX(Règles_caprins[Specificite],MATCH(ChoixRationCaprins&amp;$BX126,Règles_caprins[Ration]&amp;Règles_caprins[Aliment],0))="s1",IF($BX126=Spécificité1Caprins,1)),
INDEX(Règles_caprins[Specificite],MATCH(ChoixRationCaprins&amp;$BX126,Règles_caprins[Ration]&amp;Règles_caprins[Aliment],0))="c"),
INDEX(Règles_caprins[Valeur 6-12],MATCH(ChoixRationCaprins&amp;$BX126,Règles_caprins[Ration]&amp;Règles_caprins[Aliment],0)),0),0)*jeune_bouc_6_12_mois*NbreJoursNourrirCaprins)</f>
        <v>0</v>
      </c>
      <c r="CA126" s="332">
        <f t="array" ref="CA126">IF(ChoixRationComplèteCaprins=OUI,0,IFERROR(IF(OR(AND(INDEX(Règles_caprins[Specificite],MATCH(ChoixRationCaprins&amp;$BX126,Règles_caprins[Ration]&amp;Règles_caprins[Aliment],0))="s1",IF($BX126=Spécificité1Caprins,1)),
INDEX(Règles_caprins[Specificite],MATCH(ChoixRationCaprins&amp;$BX126,Règles_caprins[Ration]&amp;Règles_caprins[Aliment],0))="c"),
INDEX(Règles_caprins[Valeur 3-6],MATCH(ChoixRationCaprins&amp;$BX126,Règles_caprins[Ration]&amp;Règles_caprins[Aliment],0)),0),0)*chevreau_3_6_mois*NbreJoursNourrirCaprins)</f>
        <v>0</v>
      </c>
      <c r="CB126" s="332">
        <f t="array" ref="CB126">IF(ChoixRationComplèteCaprins=OUI,0,IFERROR(IF(OR(AND(INDEX(Règles_caprins[Specificite],MATCH(ChoixRationCaprins&amp;$BX126,Règles_caprins[Ration]&amp;Règles_caprins[Aliment],0))="s1",IF($BX126=Spécificité1Caprins,1)),
INDEX(Règles_caprins[Specificite],MATCH(ChoixRationCaprins&amp;$BX126,Règles_caprins[Ration]&amp;Règles_caprins[Aliment],0))="c"),
INDEX(Règles_caprins[Valeur 0-3],MATCH(ChoixRationCaprins&amp;$BX126,Règles_caprins[Ration]&amp;Règles_caprins[Aliment],0)),0),0)*chevreau_0_3_mois*NbreJoursNourrirCaprins)</f>
        <v>0</v>
      </c>
      <c r="CC126" s="332">
        <f t="shared" si="9"/>
        <v>0</v>
      </c>
      <c r="CH126" s="276"/>
    </row>
    <row r="127" spans="1:86" ht="12.75" customHeight="1" x14ac:dyDescent="0.2">
      <c r="A127" s="355" t="s">
        <v>36</v>
      </c>
      <c r="B127" s="362">
        <f t="shared" si="8"/>
        <v>1E-3</v>
      </c>
      <c r="BB127" s="369" t="s">
        <v>442</v>
      </c>
      <c r="BC127" s="344" t="s">
        <v>732</v>
      </c>
      <c r="BD127" s="344" t="s">
        <v>713</v>
      </c>
      <c r="BE127" s="370">
        <v>4.8</v>
      </c>
      <c r="BF127" s="370">
        <v>4</v>
      </c>
      <c r="BG127" s="370">
        <v>4</v>
      </c>
      <c r="BH127" s="370">
        <v>4</v>
      </c>
      <c r="BI127" s="370">
        <v>2</v>
      </c>
      <c r="BJ127" s="370">
        <v>1.2</v>
      </c>
      <c r="BK127" s="371">
        <v>0</v>
      </c>
      <c r="BL127" s="305"/>
      <c r="BM127" s="332" t="str">
        <f t="shared" si="10"/>
        <v>Féverole</v>
      </c>
      <c r="BN127" s="333">
        <f t="array" ref="BN127">SUM((IF(QualitéAlimentsBisonneauxMâles_0_3_mois=BONNE,VLOOKUP("Féverole",AlimentsRationHivernaleBisonsMâles,8,FALSE),0)+(IF(QualitéAlimentsBisonneauxFemelles_0_3_mois=BONNE,VLOOKUP("Féverole",AlimentsRationHivernaleBisonsFemelles,8,FALSE),0)+(IF(QualitéAlimentsBisonneauxMâles_3_6_mois=BONNE,VLOOKUP("Féverole",AlimentsRationHivernaleBisonsMâles,7,FALSE),0)+(IF(QualitéAlimentsBisonneauxFemelles_3_6_mois=BONNE,VLOOKUP("Féverole",AlimentsRationHivernaleBisonsFemelles,7,FALSE),0)+(IF(QualitéAlimentsBisonneauxMâles_6_12_mois=BONNE,VLOOKUP("Féverole",AlimentsRationHivernaleBisonsMâles,6,FALSE),0)+(IF(QualitéAlimentsBisonneauxFemelles_6_12_mois=BONNE,VLOOKUP("Féverole",AlimentsRationHivernaleBisonsFemelles,6,FALSE),0)+(IF(QualitéAlimentsJeunesBisons_12_18_mois=BONNE,VLOOKUP("Féverole",AlimentsRationHivernaleBisonsMâles,5,FALSE),0)+(IF(QualitéAlimentsJeunesBisonnes_12_18_mois=BONNE,VLOOKUP("Féverole",AlimentsRationHivernaleBisonsFemelles,5,FALSE),0)+(IF(QualitéAlimentsJeunesBisons_18_24_mois=BONNE,VLOOKUP("Féverole",AlimentsRationHivernaleBisonsMâles,4,FALSE),0)+(IF(QualitéAlimentsJeunesBisonnes_18_24_mois=BONNE,VLOOKUP("Féverole",AlimentsRationHivernaleBisonsFemelles,4,FALSE),0)+(IF(QualitéAlimentsJeunesBisons_24_36_mois=BONNE,VLOOKUP("Féverole",AlimentsRationHivernaleBisonsMâles,3,FALSE),0)+(IF(QualitéAlimentsJeunesBisonnes_24_36_mois=BONNE,VLOOKUP("Féverole",AlimentsRationHivernaleBisonsFemelles,3,FALSE),0)+(IF(QualitéAlimentsBisons=BONNE,VLOOKUP("Féverole",AlimentsRationHivernaleBisonsMâles,2,FALSE),0)+(IF(QualitéAlimentsBisonnes=BONNE,VLOOKUP("Féverole",AlimentsRationHivernaleBisonsFemelles,2,FALSE),0))))))))))))))))</f>
        <v>0</v>
      </c>
      <c r="BO127" s="333">
        <f t="array" ref="BO127">SUM((IF(QualitéAlimentsBisonneauxMâles_0_3_mois=MOYENNE,VLOOKUP("Féverole",AlimentsRationHivernaleBisonsMâles,8,FALSE),0)+(IF(QualitéAlimentsBisonneauxFemelles_0_3_mois=MOYENNE,VLOOKUP("Féverole",AlimentsRationHivernaleBisonsFemelles,8,FALSE),0)+(IF(QualitéAlimentsBisonneauxMâles_3_6_mois=MOYENNE,VLOOKUP("Féverole",AlimentsRationHivernaleBisonsMâles,7,FALSE),0)+(IF(QualitéAlimentsBisonneauxFemelles_3_6_mois=MOYENNE,VLOOKUP("Féverole",AlimentsRationHivernaleBisonsFemelles,7,FALSE),0)+(IF(QualitéAlimentsBisonneauxMâles_6_12_mois=MOYENNE,VLOOKUP("Féverole",AlimentsRationHivernaleBisonsMâles,6,FALSE),0)+(IF(QualitéAlimentsBisonneauxFemelles_6_12_mois=MOYENNE,VLOOKUP("Féverole",AlimentsRationHivernaleBisonsFemelles,6,FALSE),0)+(IF(QualitéAlimentsJeunesBisons_12_18_mois=MOYENNE,VLOOKUP("Féverole",AlimentsRationHivernaleBisonsMâles,5,FALSE),0)+(IF(QualitéAlimentsJeunesBisonnes_12_18_mois=MOYENNE,VLOOKUP("Féverole",AlimentsRationHivernaleBisonsFemelles,5,FALSE),0)+(IF(QualitéAlimentsJeunesBisons_18_24_mois=MOYENNE,VLOOKUP("Féverole",AlimentsRationHivernaleBisonsMâles,4,FALSE),0)+(IF(QualitéAlimentsJeunesBisonnes_18_24_mois=MOYENNE,VLOOKUP("Féverole",AlimentsRationHivernaleBisonsFemelles,4,FALSE),0)+(IF(QualitéAlimentsJeunesBisons_24_36_mois=MOYENNE,VLOOKUP("Féverole",AlimentsRationHivernaleBisonsMâles,3,FALSE),0)+(IF(QualitéAlimentsJeunesBisonnes_24_36_mois=MOYENNE,VLOOKUP("Féverole",AlimentsRationHivernaleBisonsFemelles,3,FALSE),0)+(IF(QualitéAlimentsBisons=MOYENNE,VLOOKUP("Féverole",AlimentsRationHivernaleBisonsMâles,2,FALSE),0)+(IF(QualitéAlimentsBisonnes=MOYENNE,VLOOKUP("Féverole",AlimentsRationHivernaleBisonsFemelles,2,FALSE),0))))))))))))))))</f>
        <v>0</v>
      </c>
      <c r="BP127" s="333">
        <f t="array" ref="BP127">SUM((IF(QualitéAlimentsBisonneauxMâles_0_3_mois=MAUVAISE,VLOOKUP("Féverole",AlimentsRationHivernaleBisonsMâles,8,FALSE),0)+(IF(QualitéAlimentsBisonneauxFemelles_0_3_mois=MAUVAISE,VLOOKUP("Féverole",AlimentsRationHivernaleBisonsFemelles,8,FALSE),0)+(IF(QualitéAlimentsBisonneauxMâles_3_6_mois=MAUVAISE,VLOOKUP("Féverole",AlimentsRationHivernaleBisonsMâles,7,FALSE),0)+(IF(QualitéAlimentsBisonneauxFemelles_3_6_mois=MAUVAISE,VLOOKUP("Féverole",AlimentsRationHivernaleBisonsFemelles,7,FALSE),0)+(IF(QualitéAlimentsBisonneauxMâles_6_12_mois=MAUVAISE,VLOOKUP("Féverole",AlimentsRationHivernaleBisonsMâles,6,FALSE),0)+(IF(QualitéAlimentsBisonneauxFemelles_6_12_mois=MAUVAISE,VLOOKUP("Féverole",AlimentsRationHivernaleBisonsFemelles,6,FALSE),0)+(IF(QualitéAlimentsJeunesBisons_12_18_mois=MAUVAISE,VLOOKUP("Féverole",AlimentsRationHivernaleBisonsMâles,5,FALSE),0)+(IF(QualitéAlimentsJeunesBisonnes_12_18_mois=MAUVAISE,VLOOKUP("Féverole",AlimentsRationHivernaleBisonsFemelles,5,FALSE),0)+(IF(QualitéAlimentsJeunesBisons_18_24_mois=MAUVAISE,VLOOKUP("Féverole",AlimentsRationHivernaleBisonsMâles,4,FALSE),0)+(IF(QualitéAlimentsJeunesBisonnes_18_24_mois=MAUVAISE,VLOOKUP("Féverole",AlimentsRationHivernaleBisonsFemelles,4,FALSE),0)+(IF(QualitéAlimentsJeunesBisons_24_36_mois=MAUVAISE,VLOOKUP("Féverole",AlimentsRationHivernaleBisonsMâles,3,FALSE),0)+(IF(QualitéAlimentsJeunesBisonnes_24_36_mois=MAUVAISE,VLOOKUP("Féverole",AlimentsRationHivernaleBisonsFemelles,3,FALSE),0)+(IF(QualitéAlimentsBisons=MAUVAISE,VLOOKUP("Féverole",AlimentsRationHivernaleBisonsMâles,2,FALSE),0)+(IF(QualitéAlimentsBisonnes=MAUVAISE,VLOOKUP("Féverole",AlimentsRationHivernaleBisonsFemelles,2,FALSE),0))))))))))))))))</f>
        <v>0</v>
      </c>
      <c r="BQ127" s="282"/>
      <c r="BR127" s="282"/>
      <c r="BS127" s="282"/>
      <c r="BT127" s="282"/>
      <c r="BU127" s="282"/>
      <c r="BX127" s="332" t="s">
        <v>436</v>
      </c>
      <c r="BY127" s="332">
        <f t="array" ref="BY127">IF(ChoixRationComplèteCaprins=OUI,0,IFERROR(IF(OR(AND(INDEX(Règles_caprins[Specificite],MATCH(ChoixRationCaprins&amp;$BX127,Règles_caprins[Ration]&amp;Règles_caprins[Aliment],0))="s1",IF($BX127=Spécificité1Caprins,1)),
INDEX(Règles_caprins[Specificite],MATCH(ChoixRationCaprins&amp;$BX127,Règles_caprins[Ration]&amp;Règles_caprins[Aliment],0))="c"),
INDEX(Règles_caprins[Valeur 12 et plus],MATCH(ChoixRationCaprins&amp;$BX127,Règles_caprins[Ration]&amp;Règles_caprins[Aliment],0)),0),0)*TotalBoucs*NbreJoursNourrirCaprins)</f>
        <v>0</v>
      </c>
      <c r="BZ127" s="332">
        <f t="array" ref="BZ127">IF(ChoixRationComplèteCaprins=OUI,0,IFERROR(IF(OR(AND(INDEX(Règles_caprins[Specificite],MATCH(ChoixRationCaprins&amp;$BX127,Règles_caprins[Ration]&amp;Règles_caprins[Aliment],0))="s1",IF($BX127=Spécificité1Caprins,1)),
INDEX(Règles_caprins[Specificite],MATCH(ChoixRationCaprins&amp;$BX127,Règles_caprins[Ration]&amp;Règles_caprins[Aliment],0))="c"),
INDEX(Règles_caprins[Valeur 6-12],MATCH(ChoixRationCaprins&amp;$BX127,Règles_caprins[Ration]&amp;Règles_caprins[Aliment],0)),0),0)*jeune_bouc_6_12_mois*NbreJoursNourrirCaprins)</f>
        <v>0</v>
      </c>
      <c r="CA127" s="332">
        <f t="array" ref="CA127">IF(ChoixRationComplèteCaprins=OUI,0,IFERROR(IF(OR(AND(INDEX(Règles_caprins[Specificite],MATCH(ChoixRationCaprins&amp;$BX127,Règles_caprins[Ration]&amp;Règles_caprins[Aliment],0))="s1",IF($BX127=Spécificité1Caprins,1)),
INDEX(Règles_caprins[Specificite],MATCH(ChoixRationCaprins&amp;$BX127,Règles_caprins[Ration]&amp;Règles_caprins[Aliment],0))="c"),
INDEX(Règles_caprins[Valeur 3-6],MATCH(ChoixRationCaprins&amp;$BX127,Règles_caprins[Ration]&amp;Règles_caprins[Aliment],0)),0),0)*chevreau_3_6_mois*NbreJoursNourrirCaprins)</f>
        <v>0</v>
      </c>
      <c r="CB127" s="332">
        <f t="array" ref="CB127">IF(ChoixRationComplèteCaprins=OUI,0,IFERROR(IF(OR(AND(INDEX(Règles_caprins[Specificite],MATCH(ChoixRationCaprins&amp;$BX127,Règles_caprins[Ration]&amp;Règles_caprins[Aliment],0))="s1",IF($BX127=Spécificité1Caprins,1)),
INDEX(Règles_caprins[Specificite],MATCH(ChoixRationCaprins&amp;$BX127,Règles_caprins[Ration]&amp;Règles_caprins[Aliment],0))="c"),
INDEX(Règles_caprins[Valeur 0-3],MATCH(ChoixRationCaprins&amp;$BX127,Règles_caprins[Ration]&amp;Règles_caprins[Aliment],0)),0),0)*chevreau_0_3_mois*NbreJoursNourrirCaprins)</f>
        <v>0</v>
      </c>
      <c r="CC127" s="332">
        <f t="shared" si="9"/>
        <v>0</v>
      </c>
      <c r="CH127" s="276"/>
    </row>
    <row r="128" spans="1:86" ht="12.75" customHeight="1" x14ac:dyDescent="0.2">
      <c r="A128" s="355" t="s">
        <v>173</v>
      </c>
      <c r="B128" s="362">
        <f t="shared" si="8"/>
        <v>1E-3</v>
      </c>
      <c r="BB128" s="369" t="s">
        <v>442</v>
      </c>
      <c r="BC128" s="344" t="s">
        <v>426</v>
      </c>
      <c r="BD128" s="344" t="s">
        <v>713</v>
      </c>
      <c r="BE128" s="370">
        <v>4.8</v>
      </c>
      <c r="BF128" s="370">
        <v>4</v>
      </c>
      <c r="BG128" s="370">
        <v>4</v>
      </c>
      <c r="BH128" s="370">
        <v>4</v>
      </c>
      <c r="BI128" s="370">
        <v>2</v>
      </c>
      <c r="BJ128" s="370">
        <v>1.2</v>
      </c>
      <c r="BK128" s="371">
        <v>0</v>
      </c>
      <c r="BL128" s="305"/>
      <c r="BM128" s="332" t="str">
        <f t="shared" si="10"/>
        <v>Foin</v>
      </c>
      <c r="BN128" s="333">
        <f t="array" ref="BN128">SUM((IF(QualitéAlimentsBisonneauxMâles_0_3_mois=BONNE,VLOOKUP("Foin",AlimentsRationHivernaleBisonsMâles,8,FALSE),0)+(IF(QualitéAlimentsBisonneauxFemelles_0_3_mois=BONNE,VLOOKUP("Foin",AlimentsRationHivernaleBisonsFemelles,8,FALSE),0)+(IF(QualitéAlimentsBisonneauxMâles_3_6_mois=BONNE,VLOOKUP("Foin",AlimentsRationHivernaleBisonsMâles,7,FALSE),0)+(IF(QualitéAlimentsBisonneauxFemelles_3_6_mois=BONNE,VLOOKUP("Foin",AlimentsRationHivernaleBisonsFemelles,7,FALSE),0)+(IF(QualitéAlimentsBisonneauxMâles_6_12_mois=BONNE,VLOOKUP("Foin",AlimentsRationHivernaleBisonsMâles,6,FALSE),0)+(IF(QualitéAlimentsBisonneauxFemelles_6_12_mois=BONNE,VLOOKUP("Foin",AlimentsRationHivernaleBisonsFemelles,6,FALSE),0)+(IF(QualitéAlimentsJeunesBisons_12_18_mois=BONNE,VLOOKUP("Foin",AlimentsRationHivernaleBisonsMâles,5,FALSE),0)+(IF(QualitéAlimentsJeunesBisonnes_12_18_mois=BONNE,VLOOKUP("Foin",AlimentsRationHivernaleBisonsFemelles,5,FALSE),0)+(IF(QualitéAlimentsJeunesBisons_18_24_mois=BONNE,VLOOKUP("Foin",AlimentsRationHivernaleBisonsMâles,4,FALSE),0)+(IF(QualitéAlimentsJeunesBisonnes_18_24_mois=BONNE,VLOOKUP("Foin",AlimentsRationHivernaleBisonsFemelles,4,FALSE),0)+(IF(QualitéAlimentsJeunesBisons_24_36_mois=BONNE,VLOOKUP("Foin",AlimentsRationHivernaleBisonsMâles,3,FALSE),0)+(IF(QualitéAlimentsJeunesBisonnes_24_36_mois=BONNE,VLOOKUP("Foin",AlimentsRationHivernaleBisonsFemelles,3,FALSE),0)+(IF(QualitéAlimentsBisons=BONNE,VLOOKUP("Foin",AlimentsRationHivernaleBisonsMâles,2,FALSE),0)+(IF(QualitéAlimentsBisonnes=BONNE,VLOOKUP("Foin",AlimentsRationHivernaleBisonsFemelles,2,FALSE),0))))))))))))))))</f>
        <v>0</v>
      </c>
      <c r="BO128" s="333">
        <f t="array" ref="BO128">SUM((IF(QualitéAlimentsBisonneauxMâles_0_3_mois=MOYENNE,VLOOKUP("Foin",AlimentsRationHivernaleBisonsMâles,8,FALSE),0)+(IF(QualitéAlimentsBisonneauxFemelles_0_3_mois=MOYENNE,VLOOKUP("Foin",AlimentsRationHivernaleBisonsFemelles,8,FALSE),0)+(IF(QualitéAlimentsBisonneauxMâles_3_6_mois=MOYENNE,VLOOKUP("Foin",AlimentsRationHivernaleBisonsMâles,7,FALSE),0)+(IF(QualitéAlimentsBisonneauxFemelles_3_6_mois=MOYENNE,VLOOKUP("Foin",AlimentsRationHivernaleBisonsFemelles,7,FALSE),0)+(IF(QualitéAlimentsBisonneauxMâles_6_12_mois=MOYENNE,VLOOKUP("Foin",AlimentsRationHivernaleBisonsMâles,6,FALSE),0)+(IF(QualitéAlimentsBisonneauxFemelles_6_12_mois=MOYENNE,VLOOKUP("Foin",AlimentsRationHivernaleBisonsFemelles,6,FALSE),0)+(IF(QualitéAlimentsJeunesBisons_12_18_mois=MOYENNE,VLOOKUP("Foin",AlimentsRationHivernaleBisonsMâles,5,FALSE),0)+(IF(QualitéAlimentsJeunesBisonnes_12_18_mois=MOYENNE,VLOOKUP("Foin",AlimentsRationHivernaleBisonsFemelles,5,FALSE),0)+(IF(QualitéAlimentsJeunesBisons_18_24_mois=MOYENNE,VLOOKUP("Foin",AlimentsRationHivernaleBisonsMâles,4,FALSE),0)+(IF(QualitéAlimentsJeunesBisonnes_18_24_mois=MOYENNE,VLOOKUP("Foin",AlimentsRationHivernaleBisonsFemelles,4,FALSE),0)+(IF(QualitéAlimentsJeunesBisons_24_36_mois=MOYENNE,VLOOKUP("Foin",AlimentsRationHivernaleBisonsMâles,3,FALSE),0)+(IF(QualitéAlimentsJeunesBisonnes_24_36_mois=MOYENNE,VLOOKUP("Foin",AlimentsRationHivernaleBisonsFemelles,3,FALSE),0)+(IF(QualitéAlimentsBisons=MOYENNE,VLOOKUP("Foin",AlimentsRationHivernaleBisonsMâles,2,FALSE),0)+(IF(QualitéAlimentsBisonnes=MOYENNE,VLOOKUP("Foin",AlimentsRationHivernaleBisonsFemelles,2,FALSE),0))))))))))))))))</f>
        <v>0</v>
      </c>
      <c r="BP128" s="333">
        <f t="array" ref="BP128">SUM((IF(QualitéAlimentsBisonneauxMâles_0_3_mois=MAUVAISE,VLOOKUP("Foin",AlimentsRationHivernaleBisonsMâles,8,FALSE),0)+(IF(QualitéAlimentsBisonneauxFemelles_0_3_mois=MAUVAISE,VLOOKUP("Foin",AlimentsRationHivernaleBisonsFemelles,8,FALSE),0)+(IF(QualitéAlimentsBisonneauxMâles_3_6_mois=MAUVAISE,VLOOKUP("Foin",AlimentsRationHivernaleBisonsMâles,7,FALSE),0)+(IF(QualitéAlimentsBisonneauxFemelles_3_6_mois=MAUVAISE,VLOOKUP("Foin",AlimentsRationHivernaleBisonsFemelles,7,FALSE),0)+(IF(QualitéAlimentsBisonneauxMâles_6_12_mois=MAUVAISE,VLOOKUP("Foin",AlimentsRationHivernaleBisonsMâles,6,FALSE),0)+(IF(QualitéAlimentsBisonneauxFemelles_6_12_mois=MAUVAISE,VLOOKUP("Foin",AlimentsRationHivernaleBisonsFemelles,6,FALSE),0)+(IF(QualitéAlimentsJeunesBisons_12_18_mois=MAUVAISE,VLOOKUP("Foin",AlimentsRationHivernaleBisonsMâles,5,FALSE),0)+(IF(QualitéAlimentsJeunesBisonnes_12_18_mois=MAUVAISE,VLOOKUP("Foin",AlimentsRationHivernaleBisonsFemelles,5,FALSE),0)+(IF(QualitéAlimentsJeunesBisons_18_24_mois=MAUVAISE,VLOOKUP("Foin",AlimentsRationHivernaleBisonsMâles,4,FALSE),0)+(IF(QualitéAlimentsJeunesBisonnes_18_24_mois=MAUVAISE,VLOOKUP("Foin",AlimentsRationHivernaleBisonsFemelles,4,FALSE),0)+(IF(QualitéAlimentsJeunesBisons_24_36_mois=MAUVAISE,VLOOKUP("Foin",AlimentsRationHivernaleBisonsMâles,3,FALSE),0)+(IF(QualitéAlimentsJeunesBisonnes_24_36_mois=MAUVAISE,VLOOKUP("Foin",AlimentsRationHivernaleBisonsFemelles,3,FALSE),0)+(IF(QualitéAlimentsBisons=MAUVAISE,VLOOKUP("Foin",AlimentsRationHivernaleBisonsMâles,2,FALSE),0)+(IF(QualitéAlimentsBisonnes=MAUVAISE,VLOOKUP("Foin",AlimentsRationHivernaleBisonsFemelles,2,FALSE),0))))))))))))))))</f>
        <v>0</v>
      </c>
      <c r="BQ128" s="282"/>
      <c r="BR128" s="282"/>
      <c r="BS128" s="282"/>
      <c r="BT128" s="282"/>
      <c r="BU128" s="282"/>
      <c r="BX128" s="332" t="s">
        <v>169</v>
      </c>
      <c r="BY128" s="332">
        <f t="array" ref="BY128">IF(ChoixRationComplèteCaprins=OUI,0,IFERROR(IF(OR(AND(INDEX(Règles_caprins[Specificite],MATCH(ChoixRationCaprins&amp;$BX128,Règles_caprins[Ration]&amp;Règles_caprins[Aliment],0))="s1",IF($BX128=Spécificité1Caprins,1)),
INDEX(Règles_caprins[Specificite],MATCH(ChoixRationCaprins&amp;$BX128,Règles_caprins[Ration]&amp;Règles_caprins[Aliment],0))="c"),
INDEX(Règles_caprins[Valeur 12 et plus],MATCH(ChoixRationCaprins&amp;$BX128,Règles_caprins[Ration]&amp;Règles_caprins[Aliment],0)),0),0)*TotalBoucs*NbreJoursNourrirCaprins)</f>
        <v>0</v>
      </c>
      <c r="BZ128" s="332">
        <f t="array" ref="BZ128">IF(ChoixRationComplèteCaprins=OUI,0,IFERROR(IF(OR(AND(INDEX(Règles_caprins[Specificite],MATCH(ChoixRationCaprins&amp;$BX128,Règles_caprins[Ration]&amp;Règles_caprins[Aliment],0))="s1",IF($BX128=Spécificité1Caprins,1)),
INDEX(Règles_caprins[Specificite],MATCH(ChoixRationCaprins&amp;$BX128,Règles_caprins[Ration]&amp;Règles_caprins[Aliment],0))="c"),
INDEX(Règles_caprins[Valeur 6-12],MATCH(ChoixRationCaprins&amp;$BX128,Règles_caprins[Ration]&amp;Règles_caprins[Aliment],0)),0),0)*jeune_bouc_6_12_mois*NbreJoursNourrirCaprins)</f>
        <v>0</v>
      </c>
      <c r="CA128" s="332">
        <f t="array" ref="CA128">IF(ChoixRationComplèteCaprins=OUI,0,IFERROR(IF(OR(AND(INDEX(Règles_caprins[Specificite],MATCH(ChoixRationCaprins&amp;$BX128,Règles_caprins[Ration]&amp;Règles_caprins[Aliment],0))="s1",IF($BX128=Spécificité1Caprins,1)),
INDEX(Règles_caprins[Specificite],MATCH(ChoixRationCaprins&amp;$BX128,Règles_caprins[Ration]&amp;Règles_caprins[Aliment],0))="c"),
INDEX(Règles_caprins[Valeur 3-6],MATCH(ChoixRationCaprins&amp;$BX128,Règles_caprins[Ration]&amp;Règles_caprins[Aliment],0)),0),0)*chevreau_3_6_mois*NbreJoursNourrirCaprins)</f>
        <v>0</v>
      </c>
      <c r="CB128" s="332">
        <f t="array" ref="CB128">IF(ChoixRationComplèteCaprins=OUI,0,IFERROR(IF(OR(AND(INDEX(Règles_caprins[Specificite],MATCH(ChoixRationCaprins&amp;$BX128,Règles_caprins[Ration]&amp;Règles_caprins[Aliment],0))="s1",IF($BX128=Spécificité1Caprins,1)),
INDEX(Règles_caprins[Specificite],MATCH(ChoixRationCaprins&amp;$BX128,Règles_caprins[Ration]&amp;Règles_caprins[Aliment],0))="c"),
INDEX(Règles_caprins[Valeur 0-3],MATCH(ChoixRationCaprins&amp;$BX128,Règles_caprins[Ration]&amp;Règles_caprins[Aliment],0)),0),0)*chevreau_0_3_mois*NbreJoursNourrirCaprins)</f>
        <v>0</v>
      </c>
      <c r="CC128" s="332">
        <f t="shared" si="9"/>
        <v>0</v>
      </c>
      <c r="CH128" s="276"/>
    </row>
    <row r="129" spans="1:86" ht="12.75" customHeight="1" x14ac:dyDescent="0.2">
      <c r="A129" s="355" t="s">
        <v>174</v>
      </c>
      <c r="B129" s="362">
        <f t="shared" si="8"/>
        <v>1E-3</v>
      </c>
      <c r="BB129" s="369" t="s">
        <v>442</v>
      </c>
      <c r="BC129" s="344" t="s">
        <v>42</v>
      </c>
      <c r="BD129" s="344" t="s">
        <v>713</v>
      </c>
      <c r="BE129" s="370">
        <v>4.8</v>
      </c>
      <c r="BF129" s="370">
        <v>4</v>
      </c>
      <c r="BG129" s="370">
        <v>4</v>
      </c>
      <c r="BH129" s="370">
        <v>4</v>
      </c>
      <c r="BI129" s="370">
        <v>2</v>
      </c>
      <c r="BJ129" s="370">
        <v>1.2</v>
      </c>
      <c r="BK129" s="371">
        <v>0</v>
      </c>
      <c r="BL129" s="305"/>
      <c r="BM129" s="332" t="str">
        <f t="shared" si="10"/>
        <v>Haricot vert</v>
      </c>
      <c r="BN129" s="333">
        <f t="array" ref="BN129">SUM((IF(QualitéAlimentsBisonneauxMâles_0_3_mois=BONNE,VLOOKUP("Haricot vert",AlimentsRationHivernaleBisonsMâles,8,FALSE),0)+(IF(QualitéAlimentsBisonneauxFemelles_0_3_mois=BONNE,VLOOKUP("Haricot vert",AlimentsRationHivernaleBisonsFemelles,8,FALSE),0)+(IF(QualitéAlimentsBisonneauxMâles_3_6_mois=BONNE,VLOOKUP("Haricot vert",AlimentsRationHivernaleBisonsMâles,7,FALSE),0)+(IF(QualitéAlimentsBisonneauxFemelles_3_6_mois=BONNE,VLOOKUP("Haricot vert",AlimentsRationHivernaleBisonsFemelles,7,FALSE),0)+(IF(QualitéAlimentsBisonneauxMâles_6_12_mois=BONNE,VLOOKUP("Haricot vert",AlimentsRationHivernaleBisonsMâles,6,FALSE),0)+(IF(QualitéAlimentsBisonneauxFemelles_6_12_mois=BONNE,VLOOKUP("Haricot vert",AlimentsRationHivernaleBisonsFemelles,6,FALSE),0)+(IF(QualitéAlimentsJeunesBisons_12_18_mois=BONNE,VLOOKUP("Haricot vert",AlimentsRationHivernaleBisonsMâles,5,FALSE),0)+(IF(QualitéAlimentsJeunesBisonnes_12_18_mois=BONNE,VLOOKUP("Haricot vert",AlimentsRationHivernaleBisonsFemelles,5,FALSE),0)+(IF(QualitéAlimentsJeunesBisons_18_24_mois=BONNE,VLOOKUP("Haricot vert",AlimentsRationHivernaleBisonsMâles,4,FALSE),0)+(IF(QualitéAlimentsJeunesBisonnes_18_24_mois=BONNE,VLOOKUP("Haricot vert",AlimentsRationHivernaleBisonsFemelles,4,FALSE),0)+(IF(QualitéAlimentsJeunesBisons_24_36_mois=BONNE,VLOOKUP("Haricot vert",AlimentsRationHivernaleBisonsMâles,3,FALSE),0)+(IF(QualitéAlimentsJeunesBisonnes_24_36_mois=BONNE,VLOOKUP("Haricot vert",AlimentsRationHivernaleBisonsFemelles,3,FALSE),0)+(IF(QualitéAlimentsBisons=BONNE,VLOOKUP("Haricot vert",AlimentsRationHivernaleBisonsMâles,2,FALSE),0)+(IF(QualitéAlimentsBisonnes=BONNE,VLOOKUP("Haricot vert",AlimentsRationHivernaleBisonsFemelles,2,FALSE),0))))))))))))))))</f>
        <v>0</v>
      </c>
      <c r="BO129" s="333">
        <f t="array" ref="BO129">SUM((IF(QualitéAlimentsBisonneauxMâles_0_3_mois=MOYENNE,VLOOKUP("Haricot vert",AlimentsRationHivernaleBisonsMâles,8,FALSE),0)+(IF(QualitéAlimentsBisonneauxFemelles_0_3_mois=MOYENNE,VLOOKUP("Haricot vert",AlimentsRationHivernaleBisonsFemelles,8,FALSE),0)+(IF(QualitéAlimentsBisonneauxMâles_3_6_mois=MOYENNE,VLOOKUP("Haricot vert",AlimentsRationHivernaleBisonsMâles,7,FALSE),0)+(IF(QualitéAlimentsBisonneauxFemelles_3_6_mois=MOYENNE,VLOOKUP("Haricot vert",AlimentsRationHivernaleBisonsFemelles,7,FALSE),0)+(IF(QualitéAlimentsBisonneauxMâles_6_12_mois=MOYENNE,VLOOKUP("Haricot vert",AlimentsRationHivernaleBisonsMâles,6,FALSE),0)+(IF(QualitéAlimentsBisonneauxFemelles_6_12_mois=MOYENNE,VLOOKUP("Haricot vert",AlimentsRationHivernaleBisonsFemelles,6,FALSE),0)+(IF(QualitéAlimentsJeunesBisons_12_18_mois=MOYENNE,VLOOKUP("Haricot vert",AlimentsRationHivernaleBisonsMâles,5,FALSE),0)+(IF(QualitéAlimentsJeunesBisonnes_12_18_mois=MOYENNE,VLOOKUP("Haricot vert",AlimentsRationHivernaleBisonsFemelles,5,FALSE),0)+(IF(QualitéAlimentsJeunesBisons_18_24_mois=MOYENNE,VLOOKUP("Haricot vert",AlimentsRationHivernaleBisonsMâles,4,FALSE),0)+(IF(QualitéAlimentsJeunesBisonnes_18_24_mois=MOYENNE,VLOOKUP("Haricot vert",AlimentsRationHivernaleBisonsFemelles,4,FALSE),0)+(IF(QualitéAlimentsJeunesBisons_24_36_mois=MOYENNE,VLOOKUP("Haricot vert",AlimentsRationHivernaleBisonsMâles,3,FALSE),0)+(IF(QualitéAlimentsJeunesBisonnes_24_36_mois=MOYENNE,VLOOKUP("Haricot vert",AlimentsRationHivernaleBisonsFemelles,3,FALSE),0)+(IF(QualitéAlimentsBisons=MOYENNE,VLOOKUP("Haricot vert",AlimentsRationHivernaleBisonsMâles,2,FALSE),0)+(IF(QualitéAlimentsBisonnes=MOYENNE,VLOOKUP("Haricot vert",AlimentsRationHivernaleBisonsFemelles,2,FALSE),0))))))))))))))))</f>
        <v>0</v>
      </c>
      <c r="BP129" s="333">
        <f t="array" ref="BP129">SUM((IF(QualitéAlimentsBisonneauxMâles_0_3_mois=MAUVAISE,VLOOKUP("Haricot vert",AlimentsRationHivernaleBisonsMâles,8,FALSE),0)+(IF(QualitéAlimentsBisonneauxFemelles_0_3_mois=MAUVAISE,VLOOKUP("Haricot vert",AlimentsRationHivernaleBisonsFemelles,8,FALSE),0)+(IF(QualitéAlimentsBisonneauxMâles_3_6_mois=MAUVAISE,VLOOKUP("Haricot vert",AlimentsRationHivernaleBisonsMâles,7,FALSE),0)+(IF(QualitéAlimentsBisonneauxFemelles_3_6_mois=MAUVAISE,VLOOKUP("Haricot vert",AlimentsRationHivernaleBisonsFemelles,7,FALSE),0)+(IF(QualitéAlimentsBisonneauxMâles_6_12_mois=MAUVAISE,VLOOKUP("Haricot vert",AlimentsRationHivernaleBisonsMâles,6,FALSE),0)+(IF(QualitéAlimentsBisonneauxFemelles_6_12_mois=MAUVAISE,VLOOKUP("Haricot vert",AlimentsRationHivernaleBisonsFemelles,6,FALSE),0)+(IF(QualitéAlimentsJeunesBisons_12_18_mois=MAUVAISE,VLOOKUP("Haricot vert",AlimentsRationHivernaleBisonsMâles,5,FALSE),0)+(IF(QualitéAlimentsJeunesBisonnes_12_18_mois=MAUVAISE,VLOOKUP("Haricot vert",AlimentsRationHivernaleBisonsFemelles,5,FALSE),0)+(IF(QualitéAlimentsJeunesBisons_18_24_mois=MAUVAISE,VLOOKUP("Haricot vert",AlimentsRationHivernaleBisonsMâles,4,FALSE),0)+(IF(QualitéAlimentsJeunesBisonnes_18_24_mois=MAUVAISE,VLOOKUP("Haricot vert",AlimentsRationHivernaleBisonsFemelles,4,FALSE),0)+(IF(QualitéAlimentsJeunesBisons_24_36_mois=MAUVAISE,VLOOKUP("Haricot vert",AlimentsRationHivernaleBisonsMâles,3,FALSE),0)+(IF(QualitéAlimentsJeunesBisonnes_24_36_mois=MAUVAISE,VLOOKUP("Haricot vert",AlimentsRationHivernaleBisonsFemelles,3,FALSE),0)+(IF(QualitéAlimentsBisons=MAUVAISE,VLOOKUP("Haricot vert",AlimentsRationHivernaleBisonsMâles,2,FALSE),0)+(IF(QualitéAlimentsBisonnes=MAUVAISE,VLOOKUP("Haricot vert",AlimentsRationHivernaleBisonsFemelles,2,FALSE),0))))))))))))))))</f>
        <v>0</v>
      </c>
      <c r="BQ129" s="282"/>
      <c r="BR129" s="282"/>
      <c r="BS129" s="282"/>
      <c r="BT129" s="282"/>
      <c r="BU129" s="282"/>
      <c r="BX129" s="332" t="s">
        <v>44</v>
      </c>
      <c r="BY129" s="332">
        <f t="array" ref="BY129">IF(ChoixRationComplèteCaprins=OUI,0,IFERROR(IF(OR(AND(INDEX(Règles_caprins[Specificite],MATCH(ChoixRationCaprins&amp;$BX129,Règles_caprins[Ration]&amp;Règles_caprins[Aliment],0))="s1",IF($BX129=Spécificité1Caprins,1)),
INDEX(Règles_caprins[Specificite],MATCH(ChoixRationCaprins&amp;$BX129,Règles_caprins[Ration]&amp;Règles_caprins[Aliment],0))="c"),
INDEX(Règles_caprins[Valeur 12 et plus],MATCH(ChoixRationCaprins&amp;$BX129,Règles_caprins[Ration]&amp;Règles_caprins[Aliment],0)),0),0)*TotalBoucs*NbreJoursNourrirCaprins)</f>
        <v>0</v>
      </c>
      <c r="BZ129" s="332">
        <f t="array" ref="BZ129">IF(ChoixRationComplèteCaprins=OUI,0,IFERROR(IF(OR(AND(INDEX(Règles_caprins[Specificite],MATCH(ChoixRationCaprins&amp;$BX129,Règles_caprins[Ration]&amp;Règles_caprins[Aliment],0))="s1",IF($BX129=Spécificité1Caprins,1)),
INDEX(Règles_caprins[Specificite],MATCH(ChoixRationCaprins&amp;$BX129,Règles_caprins[Ration]&amp;Règles_caprins[Aliment],0))="c"),
INDEX(Règles_caprins[Valeur 6-12],MATCH(ChoixRationCaprins&amp;$BX129,Règles_caprins[Ration]&amp;Règles_caprins[Aliment],0)),0),0)*jeune_bouc_6_12_mois*NbreJoursNourrirCaprins)</f>
        <v>0</v>
      </c>
      <c r="CA129" s="332">
        <f t="array" ref="CA129">IF(ChoixRationComplèteCaprins=OUI,0,IFERROR(IF(OR(AND(INDEX(Règles_caprins[Specificite],MATCH(ChoixRationCaprins&amp;$BX129,Règles_caprins[Ration]&amp;Règles_caprins[Aliment],0))="s1",IF($BX129=Spécificité1Caprins,1)),
INDEX(Règles_caprins[Specificite],MATCH(ChoixRationCaprins&amp;$BX129,Règles_caprins[Ration]&amp;Règles_caprins[Aliment],0))="c"),
INDEX(Règles_caprins[Valeur 3-6],MATCH(ChoixRationCaprins&amp;$BX129,Règles_caprins[Ration]&amp;Règles_caprins[Aliment],0)),0),0)*chevreau_3_6_mois*NbreJoursNourrirCaprins)</f>
        <v>0</v>
      </c>
      <c r="CB129" s="332">
        <f t="array" ref="CB129">IF(ChoixRationComplèteCaprins=OUI,0,IFERROR(IF(OR(AND(INDEX(Règles_caprins[Specificite],MATCH(ChoixRationCaprins&amp;$BX129,Règles_caprins[Ration]&amp;Règles_caprins[Aliment],0))="s1",IF($BX129=Spécificité1Caprins,1)),
INDEX(Règles_caprins[Specificite],MATCH(ChoixRationCaprins&amp;$BX129,Règles_caprins[Ration]&amp;Règles_caprins[Aliment],0))="c"),
INDEX(Règles_caprins[Valeur 0-3],MATCH(ChoixRationCaprins&amp;$BX129,Règles_caprins[Ration]&amp;Règles_caprins[Aliment],0)),0),0)*chevreau_0_3_mois*NbreJoursNourrirCaprins)</f>
        <v>0</v>
      </c>
      <c r="CC129" s="332">
        <f t="shared" si="9"/>
        <v>0</v>
      </c>
      <c r="CH129" s="276"/>
    </row>
    <row r="130" spans="1:86" ht="12.75" customHeight="1" x14ac:dyDescent="0.2">
      <c r="A130" s="355" t="s">
        <v>193</v>
      </c>
      <c r="B130" s="362">
        <v>0.7</v>
      </c>
      <c r="BB130" s="369" t="s">
        <v>442</v>
      </c>
      <c r="BC130" s="344" t="s">
        <v>730</v>
      </c>
      <c r="BD130" s="344" t="s">
        <v>711</v>
      </c>
      <c r="BE130" s="370">
        <v>1</v>
      </c>
      <c r="BF130" s="370">
        <v>0.8</v>
      </c>
      <c r="BG130" s="370">
        <v>0.6</v>
      </c>
      <c r="BH130" s="370">
        <v>0.4</v>
      </c>
      <c r="BI130" s="370">
        <v>0.4</v>
      </c>
      <c r="BJ130" s="370">
        <v>0.4</v>
      </c>
      <c r="BK130" s="371">
        <v>0</v>
      </c>
      <c r="BL130" s="305"/>
      <c r="BM130" s="332" t="str">
        <f t="shared" si="10"/>
        <v>Lentille</v>
      </c>
      <c r="BN130" s="333">
        <f t="array" ref="BN130">SUM((IF(QualitéAlimentsBisonneauxMâles_0_3_mois=BONNE,VLOOKUP("Lentille",AlimentsRationHivernaleBisonsMâles,8,FALSE),0)+(IF(QualitéAlimentsBisonneauxFemelles_0_3_mois=BONNE,VLOOKUP("Lentille",AlimentsRationHivernaleBisonsFemelles,8,FALSE),0)+(IF(QualitéAlimentsBisonneauxMâles_3_6_mois=BONNE,VLOOKUP("Lentille",AlimentsRationHivernaleBisonsMâles,7,FALSE),0)+(IF(QualitéAlimentsBisonneauxFemelles_3_6_mois=BONNE,VLOOKUP("Lentille",AlimentsRationHivernaleBisonsFemelles,7,FALSE),0)+(IF(QualitéAlimentsBisonneauxMâles_6_12_mois=BONNE,VLOOKUP("Lentille",AlimentsRationHivernaleBisonsMâles,6,FALSE),0)+(IF(QualitéAlimentsBisonneauxFemelles_6_12_mois=BONNE,VLOOKUP("Lentille",AlimentsRationHivernaleBisonsFemelles,6,FALSE),0)+(IF(QualitéAlimentsJeunesBisons_12_18_mois=BONNE,VLOOKUP("Lentille",AlimentsRationHivernaleBisonsMâles,5,FALSE),0)+(IF(QualitéAlimentsJeunesBisonnes_12_18_mois=BONNE,VLOOKUP("Lentille",AlimentsRationHivernaleBisonsFemelles,5,FALSE),0)+(IF(QualitéAlimentsJeunesBisons_18_24_mois=BONNE,VLOOKUP("Lentille",AlimentsRationHivernaleBisonsMâles,4,FALSE),0)+(IF(QualitéAlimentsJeunesBisonnes_18_24_mois=BONNE,VLOOKUP("Lentille",AlimentsRationHivernaleBisonsFemelles,4,FALSE),0)+(IF(QualitéAlimentsJeunesBisons_24_36_mois=BONNE,VLOOKUP("Lentille",AlimentsRationHivernaleBisonsMâles,3,FALSE),0)+(IF(QualitéAlimentsJeunesBisonnes_24_36_mois=BONNE,VLOOKUP("Lentille",AlimentsRationHivernaleBisonsFemelles,3,FALSE),0)+(IF(QualitéAlimentsBisons=BONNE,VLOOKUP("Lentille",AlimentsRationHivernaleBisonsMâles,2,FALSE),0)+(IF(QualitéAlimentsBisonnes=BONNE,VLOOKUP("Lentille",AlimentsRationHivernaleBisonsFemelles,2,FALSE),0))))))))))))))))</f>
        <v>0</v>
      </c>
      <c r="BO130" s="333">
        <f t="array" ref="BO130">SUM((IF(QualitéAlimentsBisonneauxMâles_0_3_mois=MOYENNE,VLOOKUP("Lentille",AlimentsRationHivernaleBisonsMâles,8,FALSE),0)+(IF(QualitéAlimentsBisonneauxFemelles_0_3_mois=MOYENNE,VLOOKUP("Lentille",AlimentsRationHivernaleBisonsFemelles,8,FALSE),0)+(IF(QualitéAlimentsBisonneauxMâles_3_6_mois=MOYENNE,VLOOKUP("Lentille",AlimentsRationHivernaleBisonsMâles,7,FALSE),0)+(IF(QualitéAlimentsBisonneauxFemelles_3_6_mois=MOYENNE,VLOOKUP("Lentille",AlimentsRationHivernaleBisonsFemelles,7,FALSE),0)+(IF(QualitéAlimentsBisonneauxMâles_6_12_mois=MOYENNE,VLOOKUP("Lentille",AlimentsRationHivernaleBisonsMâles,6,FALSE),0)+(IF(QualitéAlimentsBisonneauxFemelles_6_12_mois=MOYENNE,VLOOKUP("Lentille",AlimentsRationHivernaleBisonsFemelles,6,FALSE),0)+(IF(QualitéAlimentsJeunesBisons_12_18_mois=MOYENNE,VLOOKUP("Lentille",AlimentsRationHivernaleBisonsMâles,5,FALSE),0)+(IF(QualitéAlimentsJeunesBisonnes_12_18_mois=MOYENNE,VLOOKUP("Lentille",AlimentsRationHivernaleBisonsFemelles,5,FALSE),0)+(IF(QualitéAlimentsJeunesBisons_18_24_mois=MOYENNE,VLOOKUP("Lentille",AlimentsRationHivernaleBisonsMâles,4,FALSE),0)+(IF(QualitéAlimentsJeunesBisonnes_18_24_mois=MOYENNE,VLOOKUP("Lentille",AlimentsRationHivernaleBisonsFemelles,4,FALSE),0)+(IF(QualitéAlimentsJeunesBisons_24_36_mois=MOYENNE,VLOOKUP("Lentille",AlimentsRationHivernaleBisonsMâles,3,FALSE),0)+(IF(QualitéAlimentsJeunesBisonnes_24_36_mois=MOYENNE,VLOOKUP("Lentille",AlimentsRationHivernaleBisonsFemelles,3,FALSE),0)+(IF(QualitéAlimentsBisons=MOYENNE,VLOOKUP("Lentille",AlimentsRationHivernaleBisonsMâles,2,FALSE),0)+(IF(QualitéAlimentsBisonnes=MOYENNE,VLOOKUP("Lentille",AlimentsRationHivernaleBisonsFemelles,2,FALSE),0))))))))))))))))</f>
        <v>0</v>
      </c>
      <c r="BP130" s="333">
        <f t="array" ref="BP130">SUM((IF(QualitéAlimentsBisonneauxMâles_0_3_mois=MAUVAISE,VLOOKUP("Lentille",AlimentsRationHivernaleBisonsMâles,8,FALSE),0)+(IF(QualitéAlimentsBisonneauxFemelles_0_3_mois=MAUVAISE,VLOOKUP("Lentille",AlimentsRationHivernaleBisonsFemelles,8,FALSE),0)+(IF(QualitéAlimentsBisonneauxMâles_3_6_mois=MAUVAISE,VLOOKUP("Lentille",AlimentsRationHivernaleBisonsMâles,7,FALSE),0)+(IF(QualitéAlimentsBisonneauxFemelles_3_6_mois=MAUVAISE,VLOOKUP("Lentille",AlimentsRationHivernaleBisonsFemelles,7,FALSE),0)+(IF(QualitéAlimentsBisonneauxMâles_6_12_mois=MAUVAISE,VLOOKUP("Lentille",AlimentsRationHivernaleBisonsMâles,6,FALSE),0)+(IF(QualitéAlimentsBisonneauxFemelles_6_12_mois=MAUVAISE,VLOOKUP("Lentille",AlimentsRationHivernaleBisonsFemelles,6,FALSE),0)+(IF(QualitéAlimentsJeunesBisons_12_18_mois=MAUVAISE,VLOOKUP("Lentille",AlimentsRationHivernaleBisonsMâles,5,FALSE),0)+(IF(QualitéAlimentsJeunesBisonnes_12_18_mois=MAUVAISE,VLOOKUP("Lentille",AlimentsRationHivernaleBisonsFemelles,5,FALSE),0)+(IF(QualitéAlimentsJeunesBisons_18_24_mois=MAUVAISE,VLOOKUP("Lentille",AlimentsRationHivernaleBisonsMâles,4,FALSE),0)+(IF(QualitéAlimentsJeunesBisonnes_18_24_mois=MAUVAISE,VLOOKUP("Lentille",AlimentsRationHivernaleBisonsFemelles,4,FALSE),0)+(IF(QualitéAlimentsJeunesBisons_24_36_mois=MAUVAISE,VLOOKUP("Lentille",AlimentsRationHivernaleBisonsMâles,3,FALSE),0)+(IF(QualitéAlimentsJeunesBisonnes_24_36_mois=MAUVAISE,VLOOKUP("Lentille",AlimentsRationHivernaleBisonsFemelles,3,FALSE),0)+(IF(QualitéAlimentsBisons=MAUVAISE,VLOOKUP("Lentille",AlimentsRationHivernaleBisonsMâles,2,FALSE),0)+(IF(QualitéAlimentsBisonnes=MAUVAISE,VLOOKUP("Lentille",AlimentsRationHivernaleBisonsFemelles,2,FALSE),0))))))))))))))))</f>
        <v>0</v>
      </c>
      <c r="BQ130" s="282"/>
      <c r="BR130" s="282"/>
      <c r="BS130" s="282"/>
      <c r="BT130" s="282"/>
      <c r="BU130" s="282"/>
      <c r="BX130" s="332" t="s">
        <v>731</v>
      </c>
      <c r="BY130" s="332">
        <f t="array" ref="BY130">IF(ChoixRationComplèteCaprins=OUI,0,IFERROR(IF(OR(AND(INDEX(Règles_caprins[Specificite],MATCH(ChoixRationCaprins&amp;$BX130,Règles_caprins[Ration]&amp;Règles_caprins[Aliment],0))="s1",IF($BX130=Spécificité1Caprins,1)),
INDEX(Règles_caprins[Specificite],MATCH(ChoixRationCaprins&amp;$BX130,Règles_caprins[Ration]&amp;Règles_caprins[Aliment],0))="c"),
INDEX(Règles_caprins[Valeur 12 et plus],MATCH(ChoixRationCaprins&amp;$BX130,Règles_caprins[Ration]&amp;Règles_caprins[Aliment],0)),0),0)*TotalBoucs*NbreJoursNourrirCaprins)</f>
        <v>0</v>
      </c>
      <c r="BZ130" s="332">
        <f t="array" ref="BZ130">IF(ChoixRationComplèteCaprins=OUI,0,IFERROR(IF(OR(AND(INDEX(Règles_caprins[Specificite],MATCH(ChoixRationCaprins&amp;$BX130,Règles_caprins[Ration]&amp;Règles_caprins[Aliment],0))="s1",IF($BX130=Spécificité1Caprins,1)),
INDEX(Règles_caprins[Specificite],MATCH(ChoixRationCaprins&amp;$BX130,Règles_caprins[Ration]&amp;Règles_caprins[Aliment],0))="c"),
INDEX(Règles_caprins[Valeur 6-12],MATCH(ChoixRationCaprins&amp;$BX130,Règles_caprins[Ration]&amp;Règles_caprins[Aliment],0)),0),0)*jeune_bouc_6_12_mois*NbreJoursNourrirCaprins)</f>
        <v>0</v>
      </c>
      <c r="CA130" s="332">
        <f t="array" ref="CA130">IF(ChoixRationComplèteCaprins=OUI,0,IFERROR(IF(OR(AND(INDEX(Règles_caprins[Specificite],MATCH(ChoixRationCaprins&amp;$BX130,Règles_caprins[Ration]&amp;Règles_caprins[Aliment],0))="s1",IF($BX130=Spécificité1Caprins,1)),
INDEX(Règles_caprins[Specificite],MATCH(ChoixRationCaprins&amp;$BX130,Règles_caprins[Ration]&amp;Règles_caprins[Aliment],0))="c"),
INDEX(Règles_caprins[Valeur 3-6],MATCH(ChoixRationCaprins&amp;$BX130,Règles_caprins[Ration]&amp;Règles_caprins[Aliment],0)),0),0)*chevreau_3_6_mois*NbreJoursNourrirCaprins)</f>
        <v>0</v>
      </c>
      <c r="CB130" s="332">
        <f t="array" ref="CB130">IF(ChoixRationComplèteCaprins=OUI,0,IFERROR(IF(OR(AND(INDEX(Règles_caprins[Specificite],MATCH(ChoixRationCaprins&amp;$BX130,Règles_caprins[Ration]&amp;Règles_caprins[Aliment],0))="s1",IF($BX130=Spécificité1Caprins,1)),
INDEX(Règles_caprins[Specificite],MATCH(ChoixRationCaprins&amp;$BX130,Règles_caprins[Ration]&amp;Règles_caprins[Aliment],0))="c"),
INDEX(Règles_caprins[Valeur 0-3],MATCH(ChoixRationCaprins&amp;$BX130,Règles_caprins[Ration]&amp;Règles_caprins[Aliment],0)),0),0)*chevreau_0_3_mois*NbreJoursNourrirCaprins)</f>
        <v>0</v>
      </c>
      <c r="CC130" s="332">
        <f t="shared" si="9"/>
        <v>0</v>
      </c>
      <c r="CH130" s="276"/>
    </row>
    <row r="131" spans="1:86" ht="12.75" customHeight="1" x14ac:dyDescent="0.2">
      <c r="A131" s="355" t="s">
        <v>194</v>
      </c>
      <c r="B131" s="364">
        <v>0.88336999999999999</v>
      </c>
      <c r="BB131" s="369" t="s">
        <v>442</v>
      </c>
      <c r="BC131" s="344" t="s">
        <v>882</v>
      </c>
      <c r="BD131" s="344" t="s">
        <v>711</v>
      </c>
      <c r="BE131" s="370">
        <v>0</v>
      </c>
      <c r="BF131" s="370">
        <v>0</v>
      </c>
      <c r="BG131" s="370">
        <v>0</v>
      </c>
      <c r="BH131" s="370">
        <v>0</v>
      </c>
      <c r="BI131" s="370">
        <v>0</v>
      </c>
      <c r="BJ131" s="370">
        <v>0</v>
      </c>
      <c r="BK131" s="371">
        <v>8</v>
      </c>
      <c r="BL131" s="305"/>
      <c r="BM131" s="332" t="str">
        <f t="shared" si="10"/>
        <v>Maïs ensilé</v>
      </c>
      <c r="BN131" s="333">
        <f t="array" ref="BN131">SUM((IF(QualitéAlimentsBisonneauxMâles_0_3_mois=BONNE,VLOOKUP("Maïs ensilé",AlimentsRationHivernaleBisonsMâles,8,FALSE),0)+(IF(QualitéAlimentsBisonneauxFemelles_0_3_mois=BONNE,VLOOKUP("Maïs ensilé",AlimentsRationHivernaleBisonsFemelles,8,FALSE),0)+(IF(QualitéAlimentsBisonneauxMâles_3_6_mois=BONNE,VLOOKUP("Maïs ensilé",AlimentsRationHivernaleBisonsMâles,7,FALSE),0)+(IF(QualitéAlimentsBisonneauxFemelles_3_6_mois=BONNE,VLOOKUP("Maïs ensilé",AlimentsRationHivernaleBisonsFemelles,7,FALSE),0)+(IF(QualitéAlimentsBisonneauxMâles_6_12_mois=BONNE,VLOOKUP("Maïs ensilé",AlimentsRationHivernaleBisonsMâles,6,FALSE),0)+(IF(QualitéAlimentsBisonneauxFemelles_6_12_mois=BONNE,VLOOKUP("Maïs ensilé",AlimentsRationHivernaleBisonsFemelles,6,FALSE),0)+(IF(QualitéAlimentsJeunesBisons_12_18_mois=BONNE,VLOOKUP("Maïs ensilé",AlimentsRationHivernaleBisonsMâles,5,FALSE),0)+(IF(QualitéAlimentsJeunesBisonnes_12_18_mois=BONNE,VLOOKUP("Maïs ensilé",AlimentsRationHivernaleBisonsFemelles,5,FALSE),0)+(IF(QualitéAlimentsJeunesBisons_18_24_mois=BONNE,VLOOKUP("Maïs ensilé",AlimentsRationHivernaleBisonsMâles,4,FALSE),0)+(IF(QualitéAlimentsJeunesBisonnes_18_24_mois=BONNE,VLOOKUP("Maïs ensilé",AlimentsRationHivernaleBisonsFemelles,4,FALSE),0)+(IF(QualitéAlimentsJeunesBisons_24_36_mois=BONNE,VLOOKUP("Maïs ensilé",AlimentsRationHivernaleBisonsMâles,3,FALSE),0)+(IF(QualitéAlimentsJeunesBisonnes_24_36_mois=BONNE,VLOOKUP("Maïs ensilé",AlimentsRationHivernaleBisonsFemelles,3,FALSE),0)+(IF(QualitéAlimentsBisons=BONNE,VLOOKUP("Maïs ensilé",AlimentsRationHivernaleBisonsMâles,2,FALSE),0)+(IF(QualitéAlimentsBisonnes=BONNE,VLOOKUP("Maïs ensilé",AlimentsRationHivernaleBisonsFemelles,2,FALSE),0))))))))))))))))</f>
        <v>0</v>
      </c>
      <c r="BO131" s="333">
        <f t="array" ref="BO131">SUM((IF(QualitéAlimentsBisonneauxMâles_0_3_mois=MOYENNE,VLOOKUP("Maïs ensilé",AlimentsRationHivernaleBisonsMâles,8,FALSE),0)+(IF(QualitéAlimentsBisonneauxFemelles_0_3_mois=MOYENNE,VLOOKUP("Maïs ensilé",AlimentsRationHivernaleBisonsFemelles,8,FALSE),0)+(IF(QualitéAlimentsBisonneauxMâles_3_6_mois=MOYENNE,VLOOKUP("Maïs ensilé",AlimentsRationHivernaleBisonsMâles,7,FALSE),0)+(IF(QualitéAlimentsBisonneauxFemelles_3_6_mois=MOYENNE,VLOOKUP("Maïs ensilé",AlimentsRationHivernaleBisonsFemelles,7,FALSE),0)+(IF(QualitéAlimentsBisonneauxMâles_6_12_mois=MOYENNE,VLOOKUP("Maïs ensilé",AlimentsRationHivernaleBisonsMâles,6,FALSE),0)+(IF(QualitéAlimentsBisonneauxFemelles_6_12_mois=MOYENNE,VLOOKUP("Maïs ensilé",AlimentsRationHivernaleBisonsFemelles,6,FALSE),0)+(IF(QualitéAlimentsJeunesBisons_12_18_mois=MOYENNE,VLOOKUP("Maïs ensilé",AlimentsRationHivernaleBisonsMâles,5,FALSE),0)+(IF(QualitéAlimentsJeunesBisonnes_12_18_mois=MOYENNE,VLOOKUP("Maïs ensilé",AlimentsRationHivernaleBisonsFemelles,5,FALSE),0)+(IF(QualitéAlimentsJeunesBisons_18_24_mois=MOYENNE,VLOOKUP("Maïs ensilé",AlimentsRationHivernaleBisonsMâles,4,FALSE),0)+(IF(QualitéAlimentsJeunesBisonnes_18_24_mois=MOYENNE,VLOOKUP("Maïs ensilé",AlimentsRationHivernaleBisonsFemelles,4,FALSE),0)+(IF(QualitéAlimentsJeunesBisons_24_36_mois=MOYENNE,VLOOKUP("Maïs ensilé",AlimentsRationHivernaleBisonsMâles,3,FALSE),0)+(IF(QualitéAlimentsJeunesBisonnes_24_36_mois=MOYENNE,VLOOKUP("Maïs ensilé",AlimentsRationHivernaleBisonsFemelles,3,FALSE),0)+(IF(QualitéAlimentsBisons=MOYENNE,VLOOKUP("Maïs ensilé",AlimentsRationHivernaleBisonsMâles,2,FALSE),0)+(IF(QualitéAlimentsBisonnes=MOYENNE,VLOOKUP("Maïs ensilé",AlimentsRationHivernaleBisonsFemelles,2,FALSE),0))))))))))))))))</f>
        <v>0</v>
      </c>
      <c r="BP131" s="333">
        <f t="array" ref="BP131">SUM((IF(QualitéAlimentsBisonneauxMâles_0_3_mois=MAUVAISE,VLOOKUP("Maïs ensilé",AlimentsRationHivernaleBisonsMâles,8,FALSE),0)+(IF(QualitéAlimentsBisonneauxFemelles_0_3_mois=MAUVAISE,VLOOKUP("Maïs ensilé",AlimentsRationHivernaleBisonsFemelles,8,FALSE),0)+(IF(QualitéAlimentsBisonneauxMâles_3_6_mois=MAUVAISE,VLOOKUP("Maïs ensilé",AlimentsRationHivernaleBisonsMâles,7,FALSE),0)+(IF(QualitéAlimentsBisonneauxFemelles_3_6_mois=MAUVAISE,VLOOKUP("Maïs ensilé",AlimentsRationHivernaleBisonsFemelles,7,FALSE),0)+(IF(QualitéAlimentsBisonneauxMâles_6_12_mois=MAUVAISE,VLOOKUP("Maïs ensilé",AlimentsRationHivernaleBisonsMâles,6,FALSE),0)+(IF(QualitéAlimentsBisonneauxFemelles_6_12_mois=MAUVAISE,VLOOKUP("Maïs ensilé",AlimentsRationHivernaleBisonsFemelles,6,FALSE),0)+(IF(QualitéAlimentsJeunesBisons_12_18_mois=MAUVAISE,VLOOKUP("Maïs ensilé",AlimentsRationHivernaleBisonsMâles,5,FALSE),0)+(IF(QualitéAlimentsJeunesBisonnes_12_18_mois=MAUVAISE,VLOOKUP("Maïs ensilé",AlimentsRationHivernaleBisonsFemelles,5,FALSE),0)+(IF(QualitéAlimentsJeunesBisons_18_24_mois=MAUVAISE,VLOOKUP("Maïs ensilé",AlimentsRationHivernaleBisonsMâles,4,FALSE),0)+(IF(QualitéAlimentsJeunesBisonnes_18_24_mois=MAUVAISE,VLOOKUP("Maïs ensilé",AlimentsRationHivernaleBisonsFemelles,4,FALSE),0)+(IF(QualitéAlimentsJeunesBisons_24_36_mois=MAUVAISE,VLOOKUP("Maïs ensilé",AlimentsRationHivernaleBisonsMâles,3,FALSE),0)+(IF(QualitéAlimentsJeunesBisonnes_24_36_mois=MAUVAISE,VLOOKUP("Maïs ensilé",AlimentsRationHivernaleBisonsFemelles,3,FALSE),0)+(IF(QualitéAlimentsBisons=MAUVAISE,VLOOKUP("Maïs ensilé",AlimentsRationHivernaleBisonsMâles,2,FALSE),0)+(IF(QualitéAlimentsBisonnes=MAUVAISE,VLOOKUP("Maïs ensilé",AlimentsRationHivernaleBisonsFemelles,2,FALSE),0))))))))))))))))</f>
        <v>0</v>
      </c>
      <c r="BQ131" s="282"/>
      <c r="BR131" s="282"/>
      <c r="BS131" s="282"/>
      <c r="BT131" s="282"/>
      <c r="BU131" s="282"/>
      <c r="BX131" s="332" t="s">
        <v>434</v>
      </c>
      <c r="BY131" s="332">
        <f t="array" ref="BY131">IF(ChoixRationComplèteCaprins=OUI,0,IFERROR(IF(OR(AND(INDEX(Règles_caprins[Specificite],MATCH(ChoixRationCaprins&amp;$BX131,Règles_caprins[Ration]&amp;Règles_caprins[Aliment],0))="s1",IF($BX131=Spécificité1Caprins,1)),
INDEX(Règles_caprins[Specificite],MATCH(ChoixRationCaprins&amp;$BX131,Règles_caprins[Ration]&amp;Règles_caprins[Aliment],0))="c"),
INDEX(Règles_caprins[Valeur 12 et plus],MATCH(ChoixRationCaprins&amp;$BX131,Règles_caprins[Ration]&amp;Règles_caprins[Aliment],0)),0),0)*TotalBoucs*NbreJoursNourrirCaprins)</f>
        <v>0</v>
      </c>
      <c r="BZ131" s="332">
        <f t="array" ref="BZ131">IF(ChoixRationComplèteCaprins=OUI,0,IFERROR(IF(OR(AND(INDEX(Règles_caprins[Specificite],MATCH(ChoixRationCaprins&amp;$BX131,Règles_caprins[Ration]&amp;Règles_caprins[Aliment],0))="s1",IF($BX131=Spécificité1Caprins,1)),
INDEX(Règles_caprins[Specificite],MATCH(ChoixRationCaprins&amp;$BX131,Règles_caprins[Ration]&amp;Règles_caprins[Aliment],0))="c"),
INDEX(Règles_caprins[Valeur 6-12],MATCH(ChoixRationCaprins&amp;$BX131,Règles_caprins[Ration]&amp;Règles_caprins[Aliment],0)),0),0)*jeune_bouc_6_12_mois*NbreJoursNourrirCaprins)</f>
        <v>0</v>
      </c>
      <c r="CA131" s="332">
        <f t="array" ref="CA131">IF(ChoixRationComplèteCaprins=OUI,0,IFERROR(IF(OR(AND(INDEX(Règles_caprins[Specificite],MATCH(ChoixRationCaprins&amp;$BX131,Règles_caprins[Ration]&amp;Règles_caprins[Aliment],0))="s1",IF($BX131=Spécificité1Caprins,1)),
INDEX(Règles_caprins[Specificite],MATCH(ChoixRationCaprins&amp;$BX131,Règles_caprins[Ration]&amp;Règles_caprins[Aliment],0))="c"),
INDEX(Règles_caprins[Valeur 3-6],MATCH(ChoixRationCaprins&amp;$BX131,Règles_caprins[Ration]&amp;Règles_caprins[Aliment],0)),0),0)*chevreau_3_6_mois*NbreJoursNourrirCaprins)</f>
        <v>0</v>
      </c>
      <c r="CB131" s="332">
        <f t="array" ref="CB131">IF(ChoixRationComplèteCaprins=OUI,0,IFERROR(IF(OR(AND(INDEX(Règles_caprins[Specificite],MATCH(ChoixRationCaprins&amp;$BX131,Règles_caprins[Ration]&amp;Règles_caprins[Aliment],0))="s1",IF($BX131=Spécificité1Caprins,1)),
INDEX(Règles_caprins[Specificite],MATCH(ChoixRationCaprins&amp;$BX131,Règles_caprins[Ration]&amp;Règles_caprins[Aliment],0))="c"),
INDEX(Règles_caprins[Valeur 0-3],MATCH(ChoixRationCaprins&amp;$BX131,Règles_caprins[Ration]&amp;Règles_caprins[Aliment],0)),0),0)*chevreau_0_3_mois*NbreJoursNourrirCaprins)</f>
        <v>0</v>
      </c>
      <c r="CC131" s="332">
        <f t="shared" si="9"/>
        <v>0</v>
      </c>
      <c r="CH131" s="276"/>
    </row>
    <row r="132" spans="1:86" ht="12.75" customHeight="1" x14ac:dyDescent="0.2">
      <c r="A132" s="355" t="s">
        <v>195</v>
      </c>
      <c r="B132" s="364">
        <v>0.88336999999999999</v>
      </c>
      <c r="BB132" s="369" t="s">
        <v>442</v>
      </c>
      <c r="BC132" s="344" t="s">
        <v>444</v>
      </c>
      <c r="BD132" s="344" t="s">
        <v>711</v>
      </c>
      <c r="BE132" s="370">
        <v>200</v>
      </c>
      <c r="BF132" s="370">
        <v>100</v>
      </c>
      <c r="BG132" s="370">
        <v>80</v>
      </c>
      <c r="BH132" s="370">
        <v>60</v>
      </c>
      <c r="BI132" s="370">
        <v>40</v>
      </c>
      <c r="BJ132" s="370">
        <v>28</v>
      </c>
      <c r="BK132" s="371">
        <v>12</v>
      </c>
      <c r="BL132" s="305"/>
      <c r="BM132" s="332" t="str">
        <f t="shared" si="10"/>
        <v>Maïs grain</v>
      </c>
      <c r="BN132" s="333">
        <f t="array" ref="BN132">SUM((IF(QualitéAlimentsBisonneauxMâles_0_3_mois=BONNE,VLOOKUP("Maïs grain",AlimentsRationHivernaleBisonsMâles,8,FALSE),0)+(IF(QualitéAlimentsBisonneauxFemelles_0_3_mois=BONNE,VLOOKUP("Maïs grain",AlimentsRationHivernaleBisonsFemelles,8,FALSE),0)+(IF(QualitéAlimentsBisonneauxMâles_3_6_mois=BONNE,VLOOKUP("Maïs grain",AlimentsRationHivernaleBisonsMâles,7,FALSE),0)+(IF(QualitéAlimentsBisonneauxFemelles_3_6_mois=BONNE,VLOOKUP("Maïs grain",AlimentsRationHivernaleBisonsFemelles,7,FALSE),0)+(IF(QualitéAlimentsBisonneauxMâles_6_12_mois=BONNE,VLOOKUP("Maïs grain",AlimentsRationHivernaleBisonsMâles,6,FALSE),0)+(IF(QualitéAlimentsBisonneauxFemelles_6_12_mois=BONNE,VLOOKUP("Maïs grain",AlimentsRationHivernaleBisonsFemelles,6,FALSE),0)+(IF(QualitéAlimentsJeunesBisons_12_18_mois=BONNE,VLOOKUP("Maïs grain",AlimentsRationHivernaleBisonsMâles,5,FALSE),0)+(IF(QualitéAlimentsJeunesBisonnes_12_18_mois=BONNE,VLOOKUP("Maïs grain",AlimentsRationHivernaleBisonsFemelles,5,FALSE),0)+(IF(QualitéAlimentsJeunesBisons_18_24_mois=BONNE,VLOOKUP("Maïs grain",AlimentsRationHivernaleBisonsMâles,4,FALSE),0)+(IF(QualitéAlimentsJeunesBisonnes_18_24_mois=BONNE,VLOOKUP("Maïs grain",AlimentsRationHivernaleBisonsFemelles,4,FALSE),0)+(IF(QualitéAlimentsJeunesBisons_24_36_mois=BONNE,VLOOKUP("Maïs grain",AlimentsRationHivernaleBisonsMâles,3,FALSE),0)+(IF(QualitéAlimentsJeunesBisonnes_24_36_mois=BONNE,VLOOKUP("Maïs grain",AlimentsRationHivernaleBisonsFemelles,3,FALSE),0)+(IF(QualitéAlimentsBisons=BONNE,VLOOKUP("Maïs grain",AlimentsRationHivernaleBisonsMâles,2,FALSE),0)+(IF(QualitéAlimentsBisonnes=BONNE,VLOOKUP("Maïs grain",AlimentsRationHivernaleBisonsFemelles,2,FALSE),0))))))))))))))))</f>
        <v>0</v>
      </c>
      <c r="BO132" s="333">
        <f t="array" ref="BO132">SUM((IF(QualitéAlimentsBisonneauxMâles_0_3_mois=MOYENNE,VLOOKUP("Maïs grain",AlimentsRationHivernaleBisonsMâles,8,FALSE),0)+(IF(QualitéAlimentsBisonneauxFemelles_0_3_mois=MOYENNE,VLOOKUP("Maïs grain",AlimentsRationHivernaleBisonsFemelles,8,FALSE),0)+(IF(QualitéAlimentsBisonneauxMâles_3_6_mois=MOYENNE,VLOOKUP("Maïs grain",AlimentsRationHivernaleBisonsMâles,7,FALSE),0)+(IF(QualitéAlimentsBisonneauxFemelles_3_6_mois=MOYENNE,VLOOKUP("Maïs grain",AlimentsRationHivernaleBisonsFemelles,7,FALSE),0)+(IF(QualitéAlimentsBisonneauxMâles_6_12_mois=MOYENNE,VLOOKUP("Maïs grain",AlimentsRationHivernaleBisonsMâles,6,FALSE),0)+(IF(QualitéAlimentsBisonneauxFemelles_6_12_mois=MOYENNE,VLOOKUP("Maïs grain",AlimentsRationHivernaleBisonsFemelles,6,FALSE),0)+(IF(QualitéAlimentsJeunesBisons_12_18_mois=MOYENNE,VLOOKUP("Maïs grain",AlimentsRationHivernaleBisonsMâles,5,FALSE),0)+(IF(QualitéAlimentsJeunesBisonnes_12_18_mois=MOYENNE,VLOOKUP("Maïs grain",AlimentsRationHivernaleBisonsFemelles,5,FALSE),0)+(IF(QualitéAlimentsJeunesBisons_18_24_mois=MOYENNE,VLOOKUP("Maïs grain",AlimentsRationHivernaleBisonsMâles,4,FALSE),0)+(IF(QualitéAlimentsJeunesBisonnes_18_24_mois=MOYENNE,VLOOKUP("Maïs grain",AlimentsRationHivernaleBisonsFemelles,4,FALSE),0)+(IF(QualitéAlimentsJeunesBisons_24_36_mois=MOYENNE,VLOOKUP("Maïs grain",AlimentsRationHivernaleBisonsMâles,3,FALSE),0)+(IF(QualitéAlimentsJeunesBisonnes_24_36_mois=MOYENNE,VLOOKUP("Maïs grain",AlimentsRationHivernaleBisonsFemelles,3,FALSE),0)+(IF(QualitéAlimentsBisons=MOYENNE,VLOOKUP("Maïs grain",AlimentsRationHivernaleBisonsMâles,2,FALSE),0)+(IF(QualitéAlimentsBisonnes=MOYENNE,VLOOKUP("Maïs grain",AlimentsRationHivernaleBisonsFemelles,2,FALSE),0))))))))))))))))</f>
        <v>0</v>
      </c>
      <c r="BP132" s="333">
        <f t="array" ref="BP132">SUM((IF(QualitéAlimentsBisonneauxMâles_0_3_mois=MAUVAISE,VLOOKUP("Maïs grain",AlimentsRationHivernaleBisonsMâles,8,FALSE),0)+(IF(QualitéAlimentsBisonneauxFemelles_0_3_mois=MAUVAISE,VLOOKUP("Maïs grain",AlimentsRationHivernaleBisonsFemelles,8,FALSE),0)+(IF(QualitéAlimentsBisonneauxMâles_3_6_mois=MAUVAISE,VLOOKUP("Maïs grain",AlimentsRationHivernaleBisonsMâles,7,FALSE),0)+(IF(QualitéAlimentsBisonneauxFemelles_3_6_mois=MAUVAISE,VLOOKUP("Maïs grain",AlimentsRationHivernaleBisonsFemelles,7,FALSE),0)+(IF(QualitéAlimentsBisonneauxMâles_6_12_mois=MAUVAISE,VLOOKUP("Maïs grain",AlimentsRationHivernaleBisonsMâles,6,FALSE),0)+(IF(QualitéAlimentsBisonneauxFemelles_6_12_mois=MAUVAISE,VLOOKUP("Maïs grain",AlimentsRationHivernaleBisonsFemelles,6,FALSE),0)+(IF(QualitéAlimentsJeunesBisons_12_18_mois=MAUVAISE,VLOOKUP("Maïs grain",AlimentsRationHivernaleBisonsMâles,5,FALSE),0)+(IF(QualitéAlimentsJeunesBisonnes_12_18_mois=MAUVAISE,VLOOKUP("Maïs grain",AlimentsRationHivernaleBisonsFemelles,5,FALSE),0)+(IF(QualitéAlimentsJeunesBisons_18_24_mois=MAUVAISE,VLOOKUP("Maïs grain",AlimentsRationHivernaleBisonsMâles,4,FALSE),0)+(IF(QualitéAlimentsJeunesBisonnes_18_24_mois=MAUVAISE,VLOOKUP("Maïs grain",AlimentsRationHivernaleBisonsFemelles,4,FALSE),0)+(IF(QualitéAlimentsJeunesBisons_24_36_mois=MAUVAISE,VLOOKUP("Maïs grain",AlimentsRationHivernaleBisonsMâles,3,FALSE),0)+(IF(QualitéAlimentsJeunesBisonnes_24_36_mois=MAUVAISE,VLOOKUP("Maïs grain",AlimentsRationHivernaleBisonsFemelles,3,FALSE),0)+(IF(QualitéAlimentsBisons=MAUVAISE,VLOOKUP("Maïs grain",AlimentsRationHivernaleBisonsMâles,2,FALSE),0)+(IF(QualitéAlimentsBisonnes=MAUVAISE,VLOOKUP("Maïs grain",AlimentsRationHivernaleBisonsFemelles,2,FALSE),0))))))))))))))))</f>
        <v>0</v>
      </c>
      <c r="BQ132" s="282"/>
      <c r="BR132" s="282"/>
      <c r="BS132" s="282"/>
      <c r="BT132" s="282"/>
      <c r="BU132" s="282"/>
      <c r="BX132" s="332" t="s">
        <v>285</v>
      </c>
      <c r="BY132" s="332">
        <f t="array" ref="BY132">IF(ChoixRationComplèteCaprins=OUI,0,IFERROR(IF(OR(AND(INDEX(Règles_caprins[Specificite],MATCH(ChoixRationCaprins&amp;$BX132,Règles_caprins[Ration]&amp;Règles_caprins[Aliment],0))="s1",IF($BX132=Spécificité1Caprins,1)),
INDEX(Règles_caprins[Specificite],MATCH(ChoixRationCaprins&amp;$BX132,Règles_caprins[Ration]&amp;Règles_caprins[Aliment],0))="c"),
INDEX(Règles_caprins[Valeur 12 et plus],MATCH(ChoixRationCaprins&amp;$BX132,Règles_caprins[Ration]&amp;Règles_caprins[Aliment],0)),0),0)*TotalBoucs*NbreJoursNourrirCaprins)</f>
        <v>0</v>
      </c>
      <c r="BZ132" s="332">
        <f t="array" ref="BZ132">IF(ChoixRationComplèteCaprins=OUI,0,IFERROR(IF(OR(AND(INDEX(Règles_caprins[Specificite],MATCH(ChoixRationCaprins&amp;$BX132,Règles_caprins[Ration]&amp;Règles_caprins[Aliment],0))="s1",IF($BX132=Spécificité1Caprins,1)),
INDEX(Règles_caprins[Specificite],MATCH(ChoixRationCaprins&amp;$BX132,Règles_caprins[Ration]&amp;Règles_caprins[Aliment],0))="c"),
INDEX(Règles_caprins[Valeur 6-12],MATCH(ChoixRationCaprins&amp;$BX132,Règles_caprins[Ration]&amp;Règles_caprins[Aliment],0)),0),0)*jeune_bouc_6_12_mois*NbreJoursNourrirCaprins)</f>
        <v>0</v>
      </c>
      <c r="CA132" s="332">
        <f t="array" ref="CA132">IF(ChoixRationComplèteCaprins=OUI,0,IFERROR(IF(OR(AND(INDEX(Règles_caprins[Specificite],MATCH(ChoixRationCaprins&amp;$BX132,Règles_caprins[Ration]&amp;Règles_caprins[Aliment],0))="s1",IF($BX132=Spécificité1Caprins,1)),
INDEX(Règles_caprins[Specificite],MATCH(ChoixRationCaprins&amp;$BX132,Règles_caprins[Ration]&amp;Règles_caprins[Aliment],0))="c"),
INDEX(Règles_caprins[Valeur 3-6],MATCH(ChoixRationCaprins&amp;$BX132,Règles_caprins[Ration]&amp;Règles_caprins[Aliment],0)),0),0)*chevreau_3_6_mois*NbreJoursNourrirCaprins)</f>
        <v>0</v>
      </c>
      <c r="CB132" s="332">
        <f t="array" ref="CB132">IF(ChoixRationComplèteCaprins=OUI,0,IFERROR(IF(OR(AND(INDEX(Règles_caprins[Specificite],MATCH(ChoixRationCaprins&amp;$BX132,Règles_caprins[Ration]&amp;Règles_caprins[Aliment],0))="s1",IF($BX132=Spécificité1Caprins,1)),
INDEX(Règles_caprins[Specificite],MATCH(ChoixRationCaprins&amp;$BX132,Règles_caprins[Ration]&amp;Règles_caprins[Aliment],0))="c"),
INDEX(Règles_caprins[Valeur 0-3],MATCH(ChoixRationCaprins&amp;$BX132,Règles_caprins[Ration]&amp;Règles_caprins[Aliment],0)),0),0)*chevreau_0_3_mois*NbreJoursNourrirCaprins)</f>
        <v>0</v>
      </c>
      <c r="CC132" s="332">
        <f t="shared" si="9"/>
        <v>0</v>
      </c>
      <c r="CH132" s="276"/>
    </row>
    <row r="133" spans="1:86" ht="12.75" customHeight="1" x14ac:dyDescent="0.2">
      <c r="A133" s="355" t="s">
        <v>196</v>
      </c>
      <c r="B133" s="364">
        <v>1</v>
      </c>
      <c r="BB133" s="369" t="s">
        <v>443</v>
      </c>
      <c r="BC133" s="344" t="s">
        <v>434</v>
      </c>
      <c r="BD133" s="344" t="s">
        <v>735</v>
      </c>
      <c r="BE133" s="370">
        <v>137</v>
      </c>
      <c r="BF133" s="370">
        <v>117</v>
      </c>
      <c r="BG133" s="370">
        <v>91</v>
      </c>
      <c r="BH133" s="370">
        <v>69</v>
      </c>
      <c r="BI133" s="370">
        <v>47</v>
      </c>
      <c r="BJ133" s="370">
        <v>23</v>
      </c>
      <c r="BK133" s="371">
        <v>0</v>
      </c>
      <c r="BL133" s="305"/>
      <c r="BM133" s="332" t="str">
        <f t="shared" si="10"/>
        <v>Minéraux + vitamines</v>
      </c>
      <c r="BN133" s="333">
        <f t="array" ref="BN133">SUM((IF(QualitéAlimentsBisonneauxMâles_0_3_mois=BONNE,VLOOKUP("Minéraux + vitamines",AlimentsRationHivernaleBisonsMâles,8,FALSE),0)+(IF(QualitéAlimentsBisonneauxFemelles_0_3_mois=BONNE,VLOOKUP("Minéraux + vitamines",AlimentsRationHivernaleBisonsFemelles,8,FALSE),0)+(IF(QualitéAlimentsBisonneauxMâles_3_6_mois=BONNE,VLOOKUP("Minéraux + vitamines",AlimentsRationHivernaleBisonsMâles,7,FALSE),0)+(IF(QualitéAlimentsBisonneauxFemelles_3_6_mois=BONNE,VLOOKUP("Minéraux + vitamines",AlimentsRationHivernaleBisonsFemelles,7,FALSE),0)+(IF(QualitéAlimentsBisonneauxMâles_6_12_mois=BONNE,VLOOKUP("Minéraux + vitamines",AlimentsRationHivernaleBisonsMâles,6,FALSE),0)+(IF(QualitéAlimentsBisonneauxFemelles_6_12_mois=BONNE,VLOOKUP("Minéraux + vitamines",AlimentsRationHivernaleBisonsFemelles,6,FALSE),0)+(IF(QualitéAlimentsJeunesBisons_12_18_mois=BONNE,VLOOKUP("Minéraux + vitamines",AlimentsRationHivernaleBisonsMâles,5,FALSE),0)+(IF(QualitéAlimentsJeunesBisonnes_12_18_mois=BONNE,VLOOKUP("Minéraux + vitamines",AlimentsRationHivernaleBisonsFemelles,5,FALSE),0)+(IF(QualitéAlimentsJeunesBisons_18_24_mois=BONNE,VLOOKUP("Minéraux + vitamines",AlimentsRationHivernaleBisonsMâles,4,FALSE),0)+(IF(QualitéAlimentsJeunesBisonnes_18_24_mois=BONNE,VLOOKUP("Minéraux + vitamines",AlimentsRationHivernaleBisonsFemelles,4,FALSE),0)+(IF(QualitéAlimentsJeunesBisons_24_36_mois=BONNE,VLOOKUP("Minéraux + vitamines",AlimentsRationHivernaleBisonsMâles,3,FALSE),0)+(IF(QualitéAlimentsJeunesBisonnes_24_36_mois=BONNE,VLOOKUP("Minéraux + vitamines",AlimentsRationHivernaleBisonsFemelles,3,FALSE),0)+(IF(QualitéAlimentsBisons=BONNE,VLOOKUP("Minéraux + vitamines",AlimentsRationHivernaleBisonsMâles,2,FALSE),0)+(IF(QualitéAlimentsBisonnes=BONNE,VLOOKUP("Minéraux + vitamines",AlimentsRationHivernaleBisonsFemelles,2,FALSE),0))))))))))))))))</f>
        <v>0</v>
      </c>
      <c r="BO133" s="333">
        <f t="array" ref="BO133">SUM((IF(QualitéAlimentsBisonneauxMâles_0_3_mois=MOYENNE,VLOOKUP("Minéraux + vitamines",AlimentsRationHivernaleBisonsMâles,8,FALSE),0)+(IF(QualitéAlimentsBisonneauxFemelles_0_3_mois=MOYENNE,VLOOKUP("Minéraux + vitamines",AlimentsRationHivernaleBisonsFemelles,8,FALSE),0)+(IF(QualitéAlimentsBisonneauxMâles_3_6_mois=MOYENNE,VLOOKUP("Minéraux + vitamines",AlimentsRationHivernaleBisonsMâles,7,FALSE),0)+(IF(QualitéAlimentsBisonneauxFemelles_3_6_mois=MOYENNE,VLOOKUP("Minéraux + vitamines",AlimentsRationHivernaleBisonsFemelles,7,FALSE),0)+(IF(QualitéAlimentsBisonneauxMâles_6_12_mois=MOYENNE,VLOOKUP("Minéraux + vitamines",AlimentsRationHivernaleBisonsMâles,6,FALSE),0)+(IF(QualitéAlimentsBisonneauxFemelles_6_12_mois=MOYENNE,VLOOKUP("Minéraux + vitamines",AlimentsRationHivernaleBisonsFemelles,6,FALSE),0)+(IF(QualitéAlimentsJeunesBisons_12_18_mois=MOYENNE,VLOOKUP("Minéraux + vitamines",AlimentsRationHivernaleBisonsMâles,5,FALSE),0)+(IF(QualitéAlimentsJeunesBisonnes_12_18_mois=MOYENNE,VLOOKUP("Minéraux + vitamines",AlimentsRationHivernaleBisonsFemelles,5,FALSE),0)+(IF(QualitéAlimentsJeunesBisons_18_24_mois=MOYENNE,VLOOKUP("Minéraux + vitamines",AlimentsRationHivernaleBisonsMâles,4,FALSE),0)+(IF(QualitéAlimentsJeunesBisonnes_18_24_mois=MOYENNE,VLOOKUP("Minéraux + vitamines",AlimentsRationHivernaleBisonsFemelles,4,FALSE),0)+(IF(QualitéAlimentsJeunesBisons_24_36_mois=MOYENNE,VLOOKUP("Minéraux + vitamines",AlimentsRationHivernaleBisonsMâles,3,FALSE),0)+(IF(QualitéAlimentsJeunesBisonnes_24_36_mois=MOYENNE,VLOOKUP("Minéraux + vitamines",AlimentsRationHivernaleBisonsFemelles,3,FALSE),0)+(IF(QualitéAlimentsBisons=MOYENNE,VLOOKUP("Minéraux + vitamines",AlimentsRationHivernaleBisonsMâles,2,FALSE),0)+(IF(QualitéAlimentsBisonnes=MOYENNE,VLOOKUP("Minéraux + vitamines",AlimentsRationHivernaleBisonsFemelles,2,FALSE),0))))))))))))))))</f>
        <v>0</v>
      </c>
      <c r="BP133" s="333">
        <f t="array" ref="BP133">SUM((IF(QualitéAlimentsBisonneauxMâles_0_3_mois=MAUVAISE,VLOOKUP("Minéraux + vitamines",AlimentsRationHivernaleBisonsMâles,8,FALSE),0)+(IF(QualitéAlimentsBisonneauxFemelles_0_3_mois=MAUVAISE,VLOOKUP("Minéraux + vitamines",AlimentsRationHivernaleBisonsFemelles,8,FALSE),0)+(IF(QualitéAlimentsBisonneauxMâles_3_6_mois=MAUVAISE,VLOOKUP("Minéraux + vitamines",AlimentsRationHivernaleBisonsMâles,7,FALSE),0)+(IF(QualitéAlimentsBisonneauxFemelles_3_6_mois=MAUVAISE,VLOOKUP("Minéraux + vitamines",AlimentsRationHivernaleBisonsFemelles,7,FALSE),0)+(IF(QualitéAlimentsBisonneauxMâles_6_12_mois=MAUVAISE,VLOOKUP("Minéraux + vitamines",AlimentsRationHivernaleBisonsMâles,6,FALSE),0)+(IF(QualitéAlimentsBisonneauxFemelles_6_12_mois=MAUVAISE,VLOOKUP("Minéraux + vitamines",AlimentsRationHivernaleBisonsFemelles,6,FALSE),0)+(IF(QualitéAlimentsJeunesBisons_12_18_mois=MAUVAISE,VLOOKUP("Minéraux + vitamines",AlimentsRationHivernaleBisonsMâles,5,FALSE),0)+(IF(QualitéAlimentsJeunesBisonnes_12_18_mois=MAUVAISE,VLOOKUP("Minéraux + vitamines",AlimentsRationHivernaleBisonsFemelles,5,FALSE),0)+(IF(QualitéAlimentsJeunesBisons_18_24_mois=MAUVAISE,VLOOKUP("Minéraux + vitamines",AlimentsRationHivernaleBisonsMâles,4,FALSE),0)+(IF(QualitéAlimentsJeunesBisonnes_18_24_mois=MAUVAISE,VLOOKUP("Minéraux + vitamines",AlimentsRationHivernaleBisonsFemelles,4,FALSE),0)+(IF(QualitéAlimentsJeunesBisons_24_36_mois=MAUVAISE,VLOOKUP("Minéraux + vitamines",AlimentsRationHivernaleBisonsMâles,3,FALSE),0)+(IF(QualitéAlimentsJeunesBisonnes_24_36_mois=MAUVAISE,VLOOKUP("Minéraux + vitamines",AlimentsRationHivernaleBisonsFemelles,3,FALSE),0)+(IF(QualitéAlimentsBisons=MAUVAISE,VLOOKUP("Minéraux + vitamines",AlimentsRationHivernaleBisonsMâles,2,FALSE),0)+(IF(QualitéAlimentsBisonnes=MAUVAISE,VLOOKUP("Minéraux + vitamines",AlimentsRationHivernaleBisonsFemelles,2,FALSE),0))))))))))))))))</f>
        <v>0</v>
      </c>
      <c r="BQ133" s="282"/>
      <c r="BR133" s="282"/>
      <c r="BS133" s="282"/>
      <c r="BT133" s="282"/>
      <c r="BU133" s="282"/>
      <c r="BX133" s="332" t="s">
        <v>42</v>
      </c>
      <c r="BY133" s="332">
        <f t="array" ref="BY133">IF(ChoixRationComplèteCaprins=OUI,0,IFERROR(IF(OR(AND(INDEX(Règles_caprins[Specificite],MATCH(ChoixRationCaprins&amp;$BX133,Règles_caprins[Ration]&amp;Règles_caprins[Aliment],0))="s1",IF($BX133=Spécificité1Caprins,1)),
INDEX(Règles_caprins[Specificite],MATCH(ChoixRationCaprins&amp;$BX133,Règles_caprins[Ration]&amp;Règles_caprins[Aliment],0))="c"),
INDEX(Règles_caprins[Valeur 12 et plus],MATCH(ChoixRationCaprins&amp;$BX133,Règles_caprins[Ration]&amp;Règles_caprins[Aliment],0)),0),0)*TotalBoucs*NbreJoursNourrirCaprins)</f>
        <v>0</v>
      </c>
      <c r="BZ133" s="332">
        <f t="array" ref="BZ133">IF(ChoixRationComplèteCaprins=OUI,0,IFERROR(IF(OR(AND(INDEX(Règles_caprins[Specificite],MATCH(ChoixRationCaprins&amp;$BX133,Règles_caprins[Ration]&amp;Règles_caprins[Aliment],0))="s1",IF($BX133=Spécificité1Caprins,1)),
INDEX(Règles_caprins[Specificite],MATCH(ChoixRationCaprins&amp;$BX133,Règles_caprins[Ration]&amp;Règles_caprins[Aliment],0))="c"),
INDEX(Règles_caprins[Valeur 6-12],MATCH(ChoixRationCaprins&amp;$BX133,Règles_caprins[Ration]&amp;Règles_caprins[Aliment],0)),0),0)*jeune_bouc_6_12_mois*NbreJoursNourrirCaprins)</f>
        <v>0</v>
      </c>
      <c r="CA133" s="332">
        <f t="array" ref="CA133">IF(ChoixRationComplèteCaprins=OUI,0,IFERROR(IF(OR(AND(INDEX(Règles_caprins[Specificite],MATCH(ChoixRationCaprins&amp;$BX133,Règles_caprins[Ration]&amp;Règles_caprins[Aliment],0))="s1",IF($BX133=Spécificité1Caprins,1)),
INDEX(Règles_caprins[Specificite],MATCH(ChoixRationCaprins&amp;$BX133,Règles_caprins[Ration]&amp;Règles_caprins[Aliment],0))="c"),
INDEX(Règles_caprins[Valeur 3-6],MATCH(ChoixRationCaprins&amp;$BX133,Règles_caprins[Ration]&amp;Règles_caprins[Aliment],0)),0),0)*chevreau_3_6_mois*NbreJoursNourrirCaprins)</f>
        <v>0</v>
      </c>
      <c r="CB133" s="332">
        <f t="array" ref="CB133">IF(ChoixRationComplèteCaprins=OUI,0,IFERROR(IF(OR(AND(INDEX(Règles_caprins[Specificite],MATCH(ChoixRationCaprins&amp;$BX133,Règles_caprins[Ration]&amp;Règles_caprins[Aliment],0))="s1",IF($BX133=Spécificité1Caprins,1)),
INDEX(Règles_caprins[Specificite],MATCH(ChoixRationCaprins&amp;$BX133,Règles_caprins[Ration]&amp;Règles_caprins[Aliment],0))="c"),
INDEX(Règles_caprins[Valeur 0-3],MATCH(ChoixRationCaprins&amp;$BX133,Règles_caprins[Ration]&amp;Règles_caprins[Aliment],0)),0),0)*chevreau_0_3_mois*NbreJoursNourrirCaprins)</f>
        <v>0</v>
      </c>
      <c r="CC133" s="332">
        <f t="shared" si="9"/>
        <v>0</v>
      </c>
      <c r="CH133" s="276"/>
    </row>
    <row r="134" spans="1:86" ht="12.75" customHeight="1" x14ac:dyDescent="0.2">
      <c r="A134" s="355" t="s">
        <v>197</v>
      </c>
      <c r="B134" s="364">
        <v>0.7</v>
      </c>
      <c r="BB134" s="369" t="s">
        <v>443</v>
      </c>
      <c r="BC134" s="344" t="s">
        <v>436</v>
      </c>
      <c r="BD134" s="344" t="s">
        <v>711</v>
      </c>
      <c r="BE134" s="370">
        <v>28</v>
      </c>
      <c r="BF134" s="370">
        <v>24</v>
      </c>
      <c r="BG134" s="370">
        <v>20</v>
      </c>
      <c r="BH134" s="370">
        <v>16</v>
      </c>
      <c r="BI134" s="370">
        <v>8</v>
      </c>
      <c r="BJ134" s="370">
        <v>4</v>
      </c>
      <c r="BK134" s="371">
        <v>0</v>
      </c>
      <c r="BL134" s="305"/>
      <c r="BM134" s="332" t="str">
        <f t="shared" si="10"/>
        <v>Orge</v>
      </c>
      <c r="BN134" s="333">
        <f t="array" ref="BN134">SUM((IF(QualitéAlimentsBisonneauxMâles_0_3_mois=BONNE,VLOOKUP("Orge",AlimentsRationHivernaleBisonsMâles,8,FALSE),0)+(IF(QualitéAlimentsBisonneauxFemelles_0_3_mois=BONNE,VLOOKUP("Orge",AlimentsRationHivernaleBisonsFemelles,8,FALSE),0)+(IF(QualitéAlimentsBisonneauxMâles_3_6_mois=BONNE,VLOOKUP("Orge",AlimentsRationHivernaleBisonsMâles,7,FALSE),0)+(IF(QualitéAlimentsBisonneauxFemelles_3_6_mois=BONNE,VLOOKUP("Orge",AlimentsRationHivernaleBisonsFemelles,7,FALSE),0)+(IF(QualitéAlimentsBisonneauxMâles_6_12_mois=BONNE,VLOOKUP("Orge",AlimentsRationHivernaleBisonsMâles,6,FALSE),0)+(IF(QualitéAlimentsBisonneauxFemelles_6_12_mois=BONNE,VLOOKUP("Orge",AlimentsRationHivernaleBisonsFemelles,6,FALSE),0)+(IF(QualitéAlimentsJeunesBisons_12_18_mois=BONNE,VLOOKUP("Orge",AlimentsRationHivernaleBisonsMâles,5,FALSE),0)+(IF(QualitéAlimentsJeunesBisonnes_12_18_mois=BONNE,VLOOKUP("Orge",AlimentsRationHivernaleBisonsFemelles,5,FALSE),0)+(IF(QualitéAlimentsJeunesBisons_18_24_mois=BONNE,VLOOKUP("Orge",AlimentsRationHivernaleBisonsMâles,4,FALSE),0)+(IF(QualitéAlimentsJeunesBisonnes_18_24_mois=BONNE,VLOOKUP("Orge",AlimentsRationHivernaleBisonsFemelles,4,FALSE),0)+(IF(QualitéAlimentsJeunesBisons_24_36_mois=BONNE,VLOOKUP("Orge",AlimentsRationHivernaleBisonsMâles,3,FALSE),0)+(IF(QualitéAlimentsJeunesBisonnes_24_36_mois=BONNE,VLOOKUP("Orge",AlimentsRationHivernaleBisonsFemelles,3,FALSE),0)+(IF(QualitéAlimentsBisons=BONNE,VLOOKUP("Orge",AlimentsRationHivernaleBisonsMâles,2,FALSE),0)+(IF(QualitéAlimentsBisonnes=BONNE,VLOOKUP("Orge",AlimentsRationHivernaleBisonsFemelles,2,FALSE),0))))))))))))))))</f>
        <v>0</v>
      </c>
      <c r="BO134" s="333">
        <f t="array" ref="BO134">SUM((IF(QualitéAlimentsBisonneauxMâles_0_3_mois=MOYENNE,VLOOKUP("Orge",AlimentsRationHivernaleBisonsMâles,8,FALSE),0)+(IF(QualitéAlimentsBisonneauxFemelles_0_3_mois=MOYENNE,VLOOKUP("Orge",AlimentsRationHivernaleBisonsFemelles,8,FALSE),0)+(IF(QualitéAlimentsBisonneauxMâles_3_6_mois=MOYENNE,VLOOKUP("Orge",AlimentsRationHivernaleBisonsMâles,7,FALSE),0)+(IF(QualitéAlimentsBisonneauxFemelles_3_6_mois=MOYENNE,VLOOKUP("Orge",AlimentsRationHivernaleBisonsFemelles,7,FALSE),0)+(IF(QualitéAlimentsBisonneauxMâles_6_12_mois=MOYENNE,VLOOKUP("Orge",AlimentsRationHivernaleBisonsMâles,6,FALSE),0)+(IF(QualitéAlimentsBisonneauxFemelles_6_12_mois=MOYENNE,VLOOKUP("Orge",AlimentsRationHivernaleBisonsFemelles,6,FALSE),0)+(IF(QualitéAlimentsJeunesBisons_12_18_mois=MOYENNE,VLOOKUP("Orge",AlimentsRationHivernaleBisonsMâles,5,FALSE),0)+(IF(QualitéAlimentsJeunesBisonnes_12_18_mois=MOYENNE,VLOOKUP("Orge",AlimentsRationHivernaleBisonsFemelles,5,FALSE),0)+(IF(QualitéAlimentsJeunesBisons_18_24_mois=MOYENNE,VLOOKUP("Orge",AlimentsRationHivernaleBisonsMâles,4,FALSE),0)+(IF(QualitéAlimentsJeunesBisonnes_18_24_mois=MOYENNE,VLOOKUP("Orge",AlimentsRationHivernaleBisonsFemelles,4,FALSE),0)+(IF(QualitéAlimentsJeunesBisons_24_36_mois=MOYENNE,VLOOKUP("Orge",AlimentsRationHivernaleBisonsMâles,3,FALSE),0)+(IF(QualitéAlimentsJeunesBisonnes_24_36_mois=MOYENNE,VLOOKUP("Orge",AlimentsRationHivernaleBisonsFemelles,3,FALSE),0)+(IF(QualitéAlimentsBisons=MOYENNE,VLOOKUP("Orge",AlimentsRationHivernaleBisonsMâles,2,FALSE),0)+(IF(QualitéAlimentsBisonnes=MOYENNE,VLOOKUP("Orge",AlimentsRationHivernaleBisonsFemelles,2,FALSE),0))))))))))))))))</f>
        <v>0</v>
      </c>
      <c r="BP134" s="333">
        <f t="array" ref="BP134">SUM((IF(QualitéAlimentsBisonneauxMâles_0_3_mois=MAUVAISE,VLOOKUP("Orge",AlimentsRationHivernaleBisonsMâles,8,FALSE),0)+(IF(QualitéAlimentsBisonneauxFemelles_0_3_mois=MAUVAISE,VLOOKUP("Orge",AlimentsRationHivernaleBisonsFemelles,8,FALSE),0)+(IF(QualitéAlimentsBisonneauxMâles_3_6_mois=MAUVAISE,VLOOKUP("Orge",AlimentsRationHivernaleBisonsMâles,7,FALSE),0)+(IF(QualitéAlimentsBisonneauxFemelles_3_6_mois=MAUVAISE,VLOOKUP("Orge",AlimentsRationHivernaleBisonsFemelles,7,FALSE),0)+(IF(QualitéAlimentsBisonneauxMâles_6_12_mois=MAUVAISE,VLOOKUP("Orge",AlimentsRationHivernaleBisonsMâles,6,FALSE),0)+(IF(QualitéAlimentsBisonneauxFemelles_6_12_mois=MAUVAISE,VLOOKUP("Orge",AlimentsRationHivernaleBisonsFemelles,6,FALSE),0)+(IF(QualitéAlimentsJeunesBisons_12_18_mois=MAUVAISE,VLOOKUP("Orge",AlimentsRationHivernaleBisonsMâles,5,FALSE),0)+(IF(QualitéAlimentsJeunesBisonnes_12_18_mois=MAUVAISE,VLOOKUP("Orge",AlimentsRationHivernaleBisonsFemelles,5,FALSE),0)+(IF(QualitéAlimentsJeunesBisons_18_24_mois=MAUVAISE,VLOOKUP("Orge",AlimentsRationHivernaleBisonsMâles,4,FALSE),0)+(IF(QualitéAlimentsJeunesBisonnes_18_24_mois=MAUVAISE,VLOOKUP("Orge",AlimentsRationHivernaleBisonsFemelles,4,FALSE),0)+(IF(QualitéAlimentsJeunesBisons_24_36_mois=MAUVAISE,VLOOKUP("Orge",AlimentsRationHivernaleBisonsMâles,3,FALSE),0)+(IF(QualitéAlimentsJeunesBisonnes_24_36_mois=MAUVAISE,VLOOKUP("Orge",AlimentsRationHivernaleBisonsFemelles,3,FALSE),0)+(IF(QualitéAlimentsBisons=MAUVAISE,VLOOKUP("Orge",AlimentsRationHivernaleBisonsMâles,2,FALSE),0)+(IF(QualitéAlimentsBisonnes=MAUVAISE,VLOOKUP("Orge",AlimentsRationHivernaleBisonsFemelles,2,FALSE),0))))))))))))))))</f>
        <v>0</v>
      </c>
      <c r="BQ134" s="282"/>
      <c r="BR134" s="282"/>
      <c r="BS134" s="282"/>
      <c r="BT134" s="282"/>
      <c r="BU134" s="282"/>
      <c r="BX134" s="332" t="s">
        <v>382</v>
      </c>
      <c r="BY134" s="332">
        <f t="array" ref="BY134">IF(ChoixRationComplèteCaprins=OUI,0,IFERROR(IF(OR(AND(INDEX(Règles_caprins[Specificite],MATCH(ChoixRationCaprins&amp;$BX134,Règles_caprins[Ration]&amp;Règles_caprins[Aliment],0))="s1",IF($BX134=Spécificité1Caprins,1)),
INDEX(Règles_caprins[Specificite],MATCH(ChoixRationCaprins&amp;$BX134,Règles_caprins[Ration]&amp;Règles_caprins[Aliment],0))="c"),
INDEX(Règles_caprins[Valeur 12 et plus],MATCH(ChoixRationCaprins&amp;$BX134,Règles_caprins[Ration]&amp;Règles_caprins[Aliment],0)),0),0)*TotalBoucs*NbreJoursNourrirCaprins)</f>
        <v>0</v>
      </c>
      <c r="BZ134" s="332">
        <f t="array" ref="BZ134">IF(ChoixRationComplèteCaprins=OUI,0,IFERROR(IF(OR(AND(INDEX(Règles_caprins[Specificite],MATCH(ChoixRationCaprins&amp;$BX134,Règles_caprins[Ration]&amp;Règles_caprins[Aliment],0))="s1",IF($BX134=Spécificité1Caprins,1)),
INDEX(Règles_caprins[Specificite],MATCH(ChoixRationCaprins&amp;$BX134,Règles_caprins[Ration]&amp;Règles_caprins[Aliment],0))="c"),
INDEX(Règles_caprins[Valeur 6-12],MATCH(ChoixRationCaprins&amp;$BX134,Règles_caprins[Ration]&amp;Règles_caprins[Aliment],0)),0),0)*jeune_bouc_6_12_mois*NbreJoursNourrirCaprins)</f>
        <v>0</v>
      </c>
      <c r="CA134" s="332">
        <f t="array" ref="CA134">IF(ChoixRationComplèteCaprins=OUI,0,IFERROR(IF(OR(AND(INDEX(Règles_caprins[Specificite],MATCH(ChoixRationCaprins&amp;$BX134,Règles_caprins[Ration]&amp;Règles_caprins[Aliment],0))="s1",IF($BX134=Spécificité1Caprins,1)),
INDEX(Règles_caprins[Specificite],MATCH(ChoixRationCaprins&amp;$BX134,Règles_caprins[Ration]&amp;Règles_caprins[Aliment],0))="c"),
INDEX(Règles_caprins[Valeur 3-6],MATCH(ChoixRationCaprins&amp;$BX134,Règles_caprins[Ration]&amp;Règles_caprins[Aliment],0)),0),0)*chevreau_3_6_mois*NbreJoursNourrirCaprins)</f>
        <v>0</v>
      </c>
      <c r="CB134" s="332">
        <f t="array" ref="CB134">IF(ChoixRationComplèteCaprins=OUI,0,IFERROR(IF(OR(AND(INDEX(Règles_caprins[Specificite],MATCH(ChoixRationCaprins&amp;$BX134,Règles_caprins[Ration]&amp;Règles_caprins[Aliment],0))="s1",IF($BX134=Spécificité1Caprins,1)),
INDEX(Règles_caprins[Specificite],MATCH(ChoixRationCaprins&amp;$BX134,Règles_caprins[Ration]&amp;Règles_caprins[Aliment],0))="c"),
INDEX(Règles_caprins[Valeur 0-3],MATCH(ChoixRationCaprins&amp;$BX134,Règles_caprins[Ration]&amp;Règles_caprins[Aliment],0)),0),0)*chevreau_0_3_mois*NbreJoursNourrirCaprins)</f>
        <v>0</v>
      </c>
      <c r="CC134" s="332">
        <f t="shared" si="9"/>
        <v>0</v>
      </c>
      <c r="CH134" s="276"/>
    </row>
    <row r="135" spans="1:86" ht="12.75" customHeight="1" x14ac:dyDescent="0.2">
      <c r="A135" s="355" t="s">
        <v>191</v>
      </c>
      <c r="B135" s="364">
        <v>0.88336999999999999</v>
      </c>
      <c r="BB135" s="369" t="s">
        <v>443</v>
      </c>
      <c r="BC135" s="344" t="s">
        <v>190</v>
      </c>
      <c r="BD135" s="344" t="s">
        <v>711</v>
      </c>
      <c r="BE135" s="370">
        <v>48</v>
      </c>
      <c r="BF135" s="370">
        <v>40</v>
      </c>
      <c r="BG135" s="370">
        <v>30</v>
      </c>
      <c r="BH135" s="370">
        <v>22</v>
      </c>
      <c r="BI135" s="370">
        <v>14</v>
      </c>
      <c r="BJ135" s="370">
        <v>6</v>
      </c>
      <c r="BK135" s="371">
        <v>0</v>
      </c>
      <c r="BL135" s="305"/>
      <c r="BM135" s="332" t="str">
        <f t="shared" si="10"/>
        <v>Paille</v>
      </c>
      <c r="BN135" s="333">
        <f t="array" ref="BN135">SUM((IF(QualitéAlimentsBisonneauxMâles_0_3_mois=BONNE,VLOOKUP("Paille",AlimentsRationHivernaleBisonsMâles,8,FALSE),0)+(IF(QualitéAlimentsBisonneauxFemelles_0_3_mois=BONNE,VLOOKUP("Paille",AlimentsRationHivernaleBisonsFemelles,8,FALSE),0)+(IF(QualitéAlimentsBisonneauxMâles_3_6_mois=BONNE,VLOOKUP("Paille",AlimentsRationHivernaleBisonsMâles,7,FALSE),0)+(IF(QualitéAlimentsBisonneauxFemelles_3_6_mois=BONNE,VLOOKUP("Paille",AlimentsRationHivernaleBisonsFemelles,7,FALSE),0)+(IF(QualitéAlimentsBisonneauxMâles_6_12_mois=BONNE,VLOOKUP("Paille",AlimentsRationHivernaleBisonsMâles,6,FALSE),0)+(IF(QualitéAlimentsBisonneauxFemelles_6_12_mois=BONNE,VLOOKUP("Paille",AlimentsRationHivernaleBisonsFemelles,6,FALSE),0)+(IF(QualitéAlimentsJeunesBisons_12_18_mois=BONNE,VLOOKUP("Paille",AlimentsRationHivernaleBisonsMâles,5,FALSE),0)+(IF(QualitéAlimentsJeunesBisonnes_12_18_mois=BONNE,VLOOKUP("Paille",AlimentsRationHivernaleBisonsFemelles,5,FALSE),0)+(IF(QualitéAlimentsJeunesBisons_18_24_mois=BONNE,VLOOKUP("Paille",AlimentsRationHivernaleBisonsMâles,4,FALSE),0)+(IF(QualitéAlimentsJeunesBisonnes_18_24_mois=BONNE,VLOOKUP("Paille",AlimentsRationHivernaleBisonsFemelles,4,FALSE),0)+(IF(QualitéAlimentsJeunesBisons_24_36_mois=BONNE,VLOOKUP("Paille",AlimentsRationHivernaleBisonsMâles,3,FALSE),0)+(IF(QualitéAlimentsJeunesBisonnes_24_36_mois=BONNE,VLOOKUP("Paille",AlimentsRationHivernaleBisonsFemelles,3,FALSE),0)+(IF(QualitéAlimentsBisons=BONNE,VLOOKUP("Paille",AlimentsRationHivernaleBisonsMâles,2,FALSE),0)+(IF(QualitéAlimentsBisonnes=BONNE,VLOOKUP("Paille",AlimentsRationHivernaleBisonsFemelles,2,FALSE),0))))))))))))))))</f>
        <v>0</v>
      </c>
      <c r="BO135" s="333">
        <f t="array" ref="BO135">SUM((IF(QualitéAlimentsBisonneauxMâles_0_3_mois=MOYENNE,VLOOKUP("Paille",AlimentsRationHivernaleBisonsMâles,8,FALSE),0)+(IF(QualitéAlimentsBisonneauxFemelles_0_3_mois=MOYENNE,VLOOKUP("Paille",AlimentsRationHivernaleBisonsFemelles,8,FALSE),0)+(IF(QualitéAlimentsBisonneauxMâles_3_6_mois=MOYENNE,VLOOKUP("Paille",AlimentsRationHivernaleBisonsMâles,7,FALSE),0)+(IF(QualitéAlimentsBisonneauxFemelles_3_6_mois=MOYENNE,VLOOKUP("Paille",AlimentsRationHivernaleBisonsFemelles,7,FALSE),0)+(IF(QualitéAlimentsBisonneauxMâles_6_12_mois=MOYENNE,VLOOKUP("Paille",AlimentsRationHivernaleBisonsMâles,6,FALSE),0)+(IF(QualitéAlimentsBisonneauxFemelles_6_12_mois=MOYENNE,VLOOKUP("Paille",AlimentsRationHivernaleBisonsFemelles,6,FALSE),0)+(IF(QualitéAlimentsJeunesBisons_12_18_mois=MOYENNE,VLOOKUP("Paille",AlimentsRationHivernaleBisonsMâles,5,FALSE),0)+(IF(QualitéAlimentsJeunesBisonnes_12_18_mois=MOYENNE,VLOOKUP("Paille",AlimentsRationHivernaleBisonsFemelles,5,FALSE),0)+(IF(QualitéAlimentsJeunesBisons_18_24_mois=MOYENNE,VLOOKUP("Paille",AlimentsRationHivernaleBisonsMâles,4,FALSE),0)+(IF(QualitéAlimentsJeunesBisonnes_18_24_mois=MOYENNE,VLOOKUP("Paille",AlimentsRationHivernaleBisonsFemelles,4,FALSE),0)+(IF(QualitéAlimentsJeunesBisons_24_36_mois=MOYENNE,VLOOKUP("Paille",AlimentsRationHivernaleBisonsMâles,3,FALSE),0)+(IF(QualitéAlimentsJeunesBisonnes_24_36_mois=MOYENNE,VLOOKUP("Paille",AlimentsRationHivernaleBisonsFemelles,3,FALSE),0)+(IF(QualitéAlimentsBisons=MOYENNE,VLOOKUP("Paille",AlimentsRationHivernaleBisonsMâles,2,FALSE),0)+(IF(QualitéAlimentsBisonnes=MOYENNE,VLOOKUP("Paille",AlimentsRationHivernaleBisonsFemelles,2,FALSE),0))))))))))))))))</f>
        <v>0</v>
      </c>
      <c r="BP135" s="333">
        <f t="array" ref="BP135">SUM((IF(QualitéAlimentsBisonneauxMâles_0_3_mois=MAUVAISE,VLOOKUP("Paille",AlimentsRationHivernaleBisonsMâles,8,FALSE),0)+(IF(QualitéAlimentsBisonneauxFemelles_0_3_mois=MAUVAISE,VLOOKUP("Paille",AlimentsRationHivernaleBisonsFemelles,8,FALSE),0)+(IF(QualitéAlimentsBisonneauxMâles_3_6_mois=MAUVAISE,VLOOKUP("Paille",AlimentsRationHivernaleBisonsMâles,7,FALSE),0)+(IF(QualitéAlimentsBisonneauxFemelles_3_6_mois=MAUVAISE,VLOOKUP("Paille",AlimentsRationHivernaleBisonsFemelles,7,FALSE),0)+(IF(QualitéAlimentsBisonneauxMâles_6_12_mois=MAUVAISE,VLOOKUP("Paille",AlimentsRationHivernaleBisonsMâles,6,FALSE),0)+(IF(QualitéAlimentsBisonneauxFemelles_6_12_mois=MAUVAISE,VLOOKUP("Paille",AlimentsRationHivernaleBisonsFemelles,6,FALSE),0)+(IF(QualitéAlimentsJeunesBisons_12_18_mois=MAUVAISE,VLOOKUP("Paille",AlimentsRationHivernaleBisonsMâles,5,FALSE),0)+(IF(QualitéAlimentsJeunesBisonnes_12_18_mois=MAUVAISE,VLOOKUP("Paille",AlimentsRationHivernaleBisonsFemelles,5,FALSE),0)+(IF(QualitéAlimentsJeunesBisons_18_24_mois=MAUVAISE,VLOOKUP("Paille",AlimentsRationHivernaleBisonsMâles,4,FALSE),0)+(IF(QualitéAlimentsJeunesBisonnes_18_24_mois=MAUVAISE,VLOOKUP("Paille",AlimentsRationHivernaleBisonsFemelles,4,FALSE),0)+(IF(QualitéAlimentsJeunesBisons_24_36_mois=MAUVAISE,VLOOKUP("Paille",AlimentsRationHivernaleBisonsMâles,3,FALSE),0)+(IF(QualitéAlimentsJeunesBisonnes_24_36_mois=MAUVAISE,VLOOKUP("Paille",AlimentsRationHivernaleBisonsFemelles,3,FALSE),0)+(IF(QualitéAlimentsBisons=MAUVAISE,VLOOKUP("Paille",AlimentsRationHivernaleBisonsMâles,2,FALSE),0)+(IF(QualitéAlimentsBisonnes=MAUVAISE,VLOOKUP("Paille",AlimentsRationHivernaleBisonsFemelles,2,FALSE),0))))))))))))))))</f>
        <v>0</v>
      </c>
      <c r="BQ135" s="282"/>
      <c r="BR135" s="282"/>
      <c r="BS135" s="282"/>
      <c r="BT135" s="282"/>
      <c r="BU135" s="282"/>
      <c r="BX135" s="332" t="s">
        <v>168</v>
      </c>
      <c r="BY135" s="332">
        <f t="array" ref="BY135">IF(ChoixRationComplèteCaprins=OUI,0,IFERROR(IF(OR(AND(INDEX(Règles_caprins[Specificite],MATCH(ChoixRationCaprins&amp;$BX135,Règles_caprins[Ration]&amp;Règles_caprins[Aliment],0))="s1",IF($BX135=Spécificité1Caprins,1)),
INDEX(Règles_caprins[Specificite],MATCH(ChoixRationCaprins&amp;$BX135,Règles_caprins[Ration]&amp;Règles_caprins[Aliment],0))="c"),
INDEX(Règles_caprins[Valeur 12 et plus],MATCH(ChoixRationCaprins&amp;$BX135,Règles_caprins[Ration]&amp;Règles_caprins[Aliment],0)),0),0)*TotalBoucs*NbreJoursNourrirCaprins)</f>
        <v>0</v>
      </c>
      <c r="BZ135" s="332">
        <f t="array" ref="BZ135">IF(ChoixRationComplèteCaprins=OUI,0,IFERROR(IF(OR(AND(INDEX(Règles_caprins[Specificite],MATCH(ChoixRationCaprins&amp;$BX135,Règles_caprins[Ration]&amp;Règles_caprins[Aliment],0))="s1",IF($BX135=Spécificité1Caprins,1)),
INDEX(Règles_caprins[Specificite],MATCH(ChoixRationCaprins&amp;$BX135,Règles_caprins[Ration]&amp;Règles_caprins[Aliment],0))="c"),
INDEX(Règles_caprins[Valeur 6-12],MATCH(ChoixRationCaprins&amp;$BX135,Règles_caprins[Ration]&amp;Règles_caprins[Aliment],0)),0),0)*jeune_bouc_6_12_mois*NbreJoursNourrirCaprins)</f>
        <v>0</v>
      </c>
      <c r="CA135" s="332">
        <f t="array" ref="CA135">IF(ChoixRationComplèteCaprins=OUI,0,IFERROR(IF(OR(AND(INDEX(Règles_caprins[Specificite],MATCH(ChoixRationCaprins&amp;$BX135,Règles_caprins[Ration]&amp;Règles_caprins[Aliment],0))="s1",IF($BX135=Spécificité1Caprins,1)),
INDEX(Règles_caprins[Specificite],MATCH(ChoixRationCaprins&amp;$BX135,Règles_caprins[Ration]&amp;Règles_caprins[Aliment],0))="c"),
INDEX(Règles_caprins[Valeur 3-6],MATCH(ChoixRationCaprins&amp;$BX135,Règles_caprins[Ration]&amp;Règles_caprins[Aliment],0)),0),0)*chevreau_3_6_mois*NbreJoursNourrirCaprins)</f>
        <v>0</v>
      </c>
      <c r="CB135" s="332">
        <f t="array" ref="CB135">IF(ChoixRationComplèteCaprins=OUI,0,IFERROR(IF(OR(AND(INDEX(Règles_caprins[Specificite],MATCH(ChoixRationCaprins&amp;$BX135,Règles_caprins[Ration]&amp;Règles_caprins[Aliment],0))="s1",IF($BX135=Spécificité1Caprins,1)),
INDEX(Règles_caprins[Specificite],MATCH(ChoixRationCaprins&amp;$BX135,Règles_caprins[Ration]&amp;Règles_caprins[Aliment],0))="c"),
INDEX(Règles_caprins[Valeur 0-3],MATCH(ChoixRationCaprins&amp;$BX135,Règles_caprins[Ration]&amp;Règles_caprins[Aliment],0)),0),0)*chevreau_0_3_mois*NbreJoursNourrirCaprins)</f>
        <v>0</v>
      </c>
      <c r="CC135" s="332">
        <f t="shared" si="9"/>
        <v>0</v>
      </c>
      <c r="CH135" s="276"/>
    </row>
    <row r="136" spans="1:86" ht="12.75" customHeight="1" x14ac:dyDescent="0.2">
      <c r="A136" s="355" t="s">
        <v>192</v>
      </c>
      <c r="B136" s="364">
        <v>1</v>
      </c>
      <c r="BB136" s="369" t="s">
        <v>443</v>
      </c>
      <c r="BC136" s="344" t="s">
        <v>382</v>
      </c>
      <c r="BD136" s="344" t="s">
        <v>711</v>
      </c>
      <c r="BE136" s="370">
        <v>48</v>
      </c>
      <c r="BF136" s="370">
        <v>40</v>
      </c>
      <c r="BG136" s="370">
        <v>30</v>
      </c>
      <c r="BH136" s="370">
        <v>22</v>
      </c>
      <c r="BI136" s="370">
        <v>14</v>
      </c>
      <c r="BJ136" s="370">
        <v>6</v>
      </c>
      <c r="BK136" s="371">
        <v>0</v>
      </c>
      <c r="BL136" s="305"/>
      <c r="BM136" s="332" t="str">
        <f t="shared" si="10"/>
        <v>Pois</v>
      </c>
      <c r="BN136" s="333">
        <f t="array" ref="BN136">SUM((IF(QualitéAlimentsBisonneauxMâles_0_3_mois=BONNE,VLOOKUP("Pois",AlimentsRationHivernaleBisonsMâles,8,FALSE),0)+(IF(QualitéAlimentsBisonneauxFemelles_0_3_mois=BONNE,VLOOKUP("Pois",AlimentsRationHivernaleBisonsFemelles,8,FALSE),0)+(IF(QualitéAlimentsBisonneauxMâles_3_6_mois=BONNE,VLOOKUP("Pois",AlimentsRationHivernaleBisonsMâles,7,FALSE),0)+(IF(QualitéAlimentsBisonneauxFemelles_3_6_mois=BONNE,VLOOKUP("Pois",AlimentsRationHivernaleBisonsFemelles,7,FALSE),0)+(IF(QualitéAlimentsBisonneauxMâles_6_12_mois=BONNE,VLOOKUP("Pois",AlimentsRationHivernaleBisonsMâles,6,FALSE),0)+(IF(QualitéAlimentsBisonneauxFemelles_6_12_mois=BONNE,VLOOKUP("Pois",AlimentsRationHivernaleBisonsFemelles,6,FALSE),0)+(IF(QualitéAlimentsJeunesBisons_12_18_mois=BONNE,VLOOKUP("Pois",AlimentsRationHivernaleBisonsMâles,5,FALSE),0)+(IF(QualitéAlimentsJeunesBisonnes_12_18_mois=BONNE,VLOOKUP("Pois",AlimentsRationHivernaleBisonsFemelles,5,FALSE),0)+(IF(QualitéAlimentsJeunesBisons_18_24_mois=BONNE,VLOOKUP("Pois",AlimentsRationHivernaleBisonsMâles,4,FALSE),0)+(IF(QualitéAlimentsJeunesBisonnes_18_24_mois=BONNE,VLOOKUP("Pois",AlimentsRationHivernaleBisonsFemelles,4,FALSE),0)+(IF(QualitéAlimentsJeunesBisons_24_36_mois=BONNE,VLOOKUP("Pois",AlimentsRationHivernaleBisonsMâles,3,FALSE),0)+(IF(QualitéAlimentsJeunesBisonnes_24_36_mois=BONNE,VLOOKUP("Pois",AlimentsRationHivernaleBisonsFemelles,3,FALSE),0)+(IF(QualitéAlimentsBisons=BONNE,VLOOKUP("Pois",AlimentsRationHivernaleBisonsMâles,2,FALSE),0)+(IF(QualitéAlimentsBisonnes=BONNE,VLOOKUP("Pois",AlimentsRationHivernaleBisonsFemelles,2,FALSE),0))))))))))))))))</f>
        <v>0</v>
      </c>
      <c r="BO136" s="333">
        <f t="array" ref="BO136">SUM((IF(QualitéAlimentsBisonneauxMâles_0_3_mois=MOYENNE,VLOOKUP("Pois",AlimentsRationHivernaleBisonsMâles,8,FALSE),0)+(IF(QualitéAlimentsBisonneauxFemelles_0_3_mois=MOYENNE,VLOOKUP("Pois",AlimentsRationHivernaleBisonsFemelles,8,FALSE),0)+(IF(QualitéAlimentsBisonneauxMâles_3_6_mois=MOYENNE,VLOOKUP("Pois",AlimentsRationHivernaleBisonsMâles,7,FALSE),0)+(IF(QualitéAlimentsBisonneauxFemelles_3_6_mois=MOYENNE,VLOOKUP("Pois",AlimentsRationHivernaleBisonsFemelles,7,FALSE),0)+(IF(QualitéAlimentsBisonneauxMâles_6_12_mois=MOYENNE,VLOOKUP("Pois",AlimentsRationHivernaleBisonsMâles,6,FALSE),0)+(IF(QualitéAlimentsBisonneauxFemelles_6_12_mois=MOYENNE,VLOOKUP("Pois",AlimentsRationHivernaleBisonsFemelles,6,FALSE),0)+(IF(QualitéAlimentsJeunesBisons_12_18_mois=MOYENNE,VLOOKUP("Pois",AlimentsRationHivernaleBisonsMâles,5,FALSE),0)+(IF(QualitéAlimentsJeunesBisonnes_12_18_mois=MOYENNE,VLOOKUP("Pois",AlimentsRationHivernaleBisonsFemelles,5,FALSE),0)+(IF(QualitéAlimentsJeunesBisons_18_24_mois=MOYENNE,VLOOKUP("Pois",AlimentsRationHivernaleBisonsMâles,4,FALSE),0)+(IF(QualitéAlimentsJeunesBisonnes_18_24_mois=MOYENNE,VLOOKUP("Pois",AlimentsRationHivernaleBisonsFemelles,4,FALSE),0)+(IF(QualitéAlimentsJeunesBisons_24_36_mois=MOYENNE,VLOOKUP("Pois",AlimentsRationHivernaleBisonsMâles,3,FALSE),0)+(IF(QualitéAlimentsJeunesBisonnes_24_36_mois=MOYENNE,VLOOKUP("Pois",AlimentsRationHivernaleBisonsFemelles,3,FALSE),0)+(IF(QualitéAlimentsBisons=MOYENNE,VLOOKUP("Pois",AlimentsRationHivernaleBisonsMâles,2,FALSE),0)+(IF(QualitéAlimentsBisonnes=MOYENNE,VLOOKUP("Pois",AlimentsRationHivernaleBisonsFemelles,2,FALSE),0))))))))))))))))</f>
        <v>0</v>
      </c>
      <c r="BP136" s="333">
        <f t="array" ref="BP136">SUM((IF(QualitéAlimentsBisonneauxMâles_0_3_mois=MAUVAISE,VLOOKUP("Pois",AlimentsRationHivernaleBisonsMâles,8,FALSE),0)+(IF(QualitéAlimentsBisonneauxFemelles_0_3_mois=MAUVAISE,VLOOKUP("Pois",AlimentsRationHivernaleBisonsFemelles,8,FALSE),0)+(IF(QualitéAlimentsBisonneauxMâles_3_6_mois=MAUVAISE,VLOOKUP("Pois",AlimentsRationHivernaleBisonsMâles,7,FALSE),0)+(IF(QualitéAlimentsBisonneauxFemelles_3_6_mois=MAUVAISE,VLOOKUP("Pois",AlimentsRationHivernaleBisonsFemelles,7,FALSE),0)+(IF(QualitéAlimentsBisonneauxMâles_6_12_mois=MAUVAISE,VLOOKUP("Pois",AlimentsRationHivernaleBisonsMâles,6,FALSE),0)+(IF(QualitéAlimentsBisonneauxFemelles_6_12_mois=MAUVAISE,VLOOKUP("Pois",AlimentsRationHivernaleBisonsFemelles,6,FALSE),0)+(IF(QualitéAlimentsJeunesBisons_12_18_mois=MAUVAISE,VLOOKUP("Pois",AlimentsRationHivernaleBisonsMâles,5,FALSE),0)+(IF(QualitéAlimentsJeunesBisonnes_12_18_mois=MAUVAISE,VLOOKUP("Pois",AlimentsRationHivernaleBisonsFemelles,5,FALSE),0)+(IF(QualitéAlimentsJeunesBisons_18_24_mois=MAUVAISE,VLOOKUP("Pois",AlimentsRationHivernaleBisonsMâles,4,FALSE),0)+(IF(QualitéAlimentsJeunesBisonnes_18_24_mois=MAUVAISE,VLOOKUP("Pois",AlimentsRationHivernaleBisonsFemelles,4,FALSE),0)+(IF(QualitéAlimentsJeunesBisons_24_36_mois=MAUVAISE,VLOOKUP("Pois",AlimentsRationHivernaleBisonsMâles,3,FALSE),0)+(IF(QualitéAlimentsJeunesBisonnes_24_36_mois=MAUVAISE,VLOOKUP("Pois",AlimentsRationHivernaleBisonsFemelles,3,FALSE),0)+(IF(QualitéAlimentsBisons=MAUVAISE,VLOOKUP("Pois",AlimentsRationHivernaleBisonsMâles,2,FALSE),0)+(IF(QualitéAlimentsBisonnes=MAUVAISE,VLOOKUP("Pois",AlimentsRationHivernaleBisonsFemelles,2,FALSE),0))))))))))))))))</f>
        <v>0</v>
      </c>
      <c r="BQ136" s="282"/>
      <c r="BR136" s="282"/>
      <c r="BS136" s="282"/>
      <c r="BT136" s="282"/>
      <c r="BU136" s="282"/>
      <c r="BX136" s="332" t="s">
        <v>732</v>
      </c>
      <c r="BY136" s="332">
        <f t="array" ref="BY136">IF(ChoixRationComplèteCaprins=OUI,0,IFERROR(IF(OR(AND(INDEX(Règles_caprins[Specificite],MATCH(ChoixRationCaprins&amp;$BX136,Règles_caprins[Ration]&amp;Règles_caprins[Aliment],0))="s1",IF($BX136=Spécificité1Caprins,1)),
INDEX(Règles_caprins[Specificite],MATCH(ChoixRationCaprins&amp;$BX136,Règles_caprins[Ration]&amp;Règles_caprins[Aliment],0))="c"),
INDEX(Règles_caprins[Valeur 12 et plus],MATCH(ChoixRationCaprins&amp;$BX136,Règles_caprins[Ration]&amp;Règles_caprins[Aliment],0)),0),0)*TotalBoucs*NbreJoursNourrirCaprins)</f>
        <v>0</v>
      </c>
      <c r="BZ136" s="332">
        <f t="array" ref="BZ136">IF(ChoixRationComplèteCaprins=OUI,0,IFERROR(IF(OR(AND(INDEX(Règles_caprins[Specificite],MATCH(ChoixRationCaprins&amp;$BX136,Règles_caprins[Ration]&amp;Règles_caprins[Aliment],0))="s1",IF($BX136=Spécificité1Caprins,1)),
INDEX(Règles_caprins[Specificite],MATCH(ChoixRationCaprins&amp;$BX136,Règles_caprins[Ration]&amp;Règles_caprins[Aliment],0))="c"),
INDEX(Règles_caprins[Valeur 6-12],MATCH(ChoixRationCaprins&amp;$BX136,Règles_caprins[Ration]&amp;Règles_caprins[Aliment],0)),0),0)*jeune_bouc_6_12_mois*NbreJoursNourrirCaprins)</f>
        <v>0</v>
      </c>
      <c r="CA136" s="332">
        <f t="array" ref="CA136">IF(ChoixRationComplèteCaprins=OUI,0,IFERROR(IF(OR(AND(INDEX(Règles_caprins[Specificite],MATCH(ChoixRationCaprins&amp;$BX136,Règles_caprins[Ration]&amp;Règles_caprins[Aliment],0))="s1",IF($BX136=Spécificité1Caprins,1)),
INDEX(Règles_caprins[Specificite],MATCH(ChoixRationCaprins&amp;$BX136,Règles_caprins[Ration]&amp;Règles_caprins[Aliment],0))="c"),
INDEX(Règles_caprins[Valeur 3-6],MATCH(ChoixRationCaprins&amp;$BX136,Règles_caprins[Ration]&amp;Règles_caprins[Aliment],0)),0),0)*chevreau_3_6_mois*NbreJoursNourrirCaprins)</f>
        <v>0</v>
      </c>
      <c r="CB136" s="332">
        <f t="array" ref="CB136">IF(ChoixRationComplèteCaprins=OUI,0,IFERROR(IF(OR(AND(INDEX(Règles_caprins[Specificite],MATCH(ChoixRationCaprins&amp;$BX136,Règles_caprins[Ration]&amp;Règles_caprins[Aliment],0))="s1",IF($BX136=Spécificité1Caprins,1)),
INDEX(Règles_caprins[Specificite],MATCH(ChoixRationCaprins&amp;$BX136,Règles_caprins[Ration]&amp;Règles_caprins[Aliment],0))="c"),
INDEX(Règles_caprins[Valeur 0-3],MATCH(ChoixRationCaprins&amp;$BX136,Règles_caprins[Ration]&amp;Règles_caprins[Aliment],0)),0),0)*chevreau_0_3_mois*NbreJoursNourrirCaprins)</f>
        <v>0</v>
      </c>
      <c r="CC136" s="332">
        <f t="shared" si="9"/>
        <v>0</v>
      </c>
      <c r="CH136" s="276"/>
    </row>
    <row r="137" spans="1:86" ht="12.75" customHeight="1" x14ac:dyDescent="0.2">
      <c r="A137" s="355" t="s">
        <v>744</v>
      </c>
      <c r="B137" s="364">
        <v>0.88336999999999999</v>
      </c>
      <c r="BB137" s="369" t="s">
        <v>443</v>
      </c>
      <c r="BC137" s="344" t="s">
        <v>383</v>
      </c>
      <c r="BD137" s="344" t="s">
        <v>712</v>
      </c>
      <c r="BE137" s="370">
        <v>7.2</v>
      </c>
      <c r="BF137" s="370">
        <v>6</v>
      </c>
      <c r="BG137" s="370">
        <v>4</v>
      </c>
      <c r="BH137" s="370">
        <v>2</v>
      </c>
      <c r="BI137" s="370">
        <v>1.2</v>
      </c>
      <c r="BJ137" s="370">
        <v>0.6</v>
      </c>
      <c r="BK137" s="371">
        <v>0</v>
      </c>
      <c r="BL137" s="305"/>
      <c r="BM137" s="332" t="str">
        <f t="shared" si="10"/>
        <v>Pomme de terre</v>
      </c>
      <c r="BN137" s="333">
        <f t="array" ref="BN137">SUM((IF(QualitéAlimentsBisonneauxMâles_0_3_mois=BONNE,VLOOKUP("Pomme de terre",AlimentsRationHivernaleBisonsMâles,8,FALSE),0)+(IF(QualitéAlimentsBisonneauxFemelles_0_3_mois=BONNE,VLOOKUP("Pomme de terre",AlimentsRationHivernaleBisonsFemelles,8,FALSE),0)+(IF(QualitéAlimentsBisonneauxMâles_3_6_mois=BONNE,VLOOKUP("Pomme de terre",AlimentsRationHivernaleBisonsMâles,7,FALSE),0)+(IF(QualitéAlimentsBisonneauxFemelles_3_6_mois=BONNE,VLOOKUP("Pomme de terre",AlimentsRationHivernaleBisonsFemelles,7,FALSE),0)+(IF(QualitéAlimentsBisonneauxMâles_6_12_mois=BONNE,VLOOKUP("Pomme de terre",AlimentsRationHivernaleBisonsMâles,6,FALSE),0)+(IF(QualitéAlimentsBisonneauxFemelles_6_12_mois=BONNE,VLOOKUP("Pomme de terre",AlimentsRationHivernaleBisonsFemelles,6,FALSE),0)+(IF(QualitéAlimentsJeunesBisons_12_18_mois=BONNE,VLOOKUP("Pomme de terre",AlimentsRationHivernaleBisonsMâles,5,FALSE),0)+(IF(QualitéAlimentsJeunesBisonnes_12_18_mois=BONNE,VLOOKUP("Pomme de terre",AlimentsRationHivernaleBisonsFemelles,5,FALSE),0)+(IF(QualitéAlimentsJeunesBisons_18_24_mois=BONNE,VLOOKUP("Pomme de terre",AlimentsRationHivernaleBisonsMâles,4,FALSE),0)+(IF(QualitéAlimentsJeunesBisonnes_18_24_mois=BONNE,VLOOKUP("Pomme de terre",AlimentsRationHivernaleBisonsFemelles,4,FALSE),0)+(IF(QualitéAlimentsJeunesBisons_24_36_mois=BONNE,VLOOKUP("Pomme de terre",AlimentsRationHivernaleBisonsMâles,3,FALSE),0)+(IF(QualitéAlimentsJeunesBisonnes_24_36_mois=BONNE,VLOOKUP("Pomme de terre",AlimentsRationHivernaleBisonsFemelles,3,FALSE),0)+(IF(QualitéAlimentsBisons=BONNE,VLOOKUP("Pomme de terre",AlimentsRationHivernaleBisonsMâles,2,FALSE),0)+(IF(QualitéAlimentsBisonnes=BONNE,VLOOKUP("Pomme de terre",AlimentsRationHivernaleBisonsFemelles,2,FALSE),0))))))))))))))))</f>
        <v>0</v>
      </c>
      <c r="BO137" s="333">
        <f t="array" ref="BO137">SUM((IF(QualitéAlimentsBisonneauxMâles_0_3_mois=MOYENNE,VLOOKUP("Pomme de terre",AlimentsRationHivernaleBisonsMâles,8,FALSE),0)+(IF(QualitéAlimentsBisonneauxFemelles_0_3_mois=MOYENNE,VLOOKUP("Pomme de terre",AlimentsRationHivernaleBisonsFemelles,8,FALSE),0)+(IF(QualitéAlimentsBisonneauxMâles_3_6_mois=MOYENNE,VLOOKUP("Pomme de terre",AlimentsRationHivernaleBisonsMâles,7,FALSE),0)+(IF(QualitéAlimentsBisonneauxFemelles_3_6_mois=MOYENNE,VLOOKUP("Pomme de terre",AlimentsRationHivernaleBisonsFemelles,7,FALSE),0)+(IF(QualitéAlimentsBisonneauxMâles_6_12_mois=MOYENNE,VLOOKUP("Pomme de terre",AlimentsRationHivernaleBisonsMâles,6,FALSE),0)+(IF(QualitéAlimentsBisonneauxFemelles_6_12_mois=MOYENNE,VLOOKUP("Pomme de terre",AlimentsRationHivernaleBisonsFemelles,6,FALSE),0)+(IF(QualitéAlimentsJeunesBisons_12_18_mois=MOYENNE,VLOOKUP("Pomme de terre",AlimentsRationHivernaleBisonsMâles,5,FALSE),0)+(IF(QualitéAlimentsJeunesBisonnes_12_18_mois=MOYENNE,VLOOKUP("Pomme de terre",AlimentsRationHivernaleBisonsFemelles,5,FALSE),0)+(IF(QualitéAlimentsJeunesBisons_18_24_mois=MOYENNE,VLOOKUP("Pomme de terre",AlimentsRationHivernaleBisonsMâles,4,FALSE),0)+(IF(QualitéAlimentsJeunesBisonnes_18_24_mois=MOYENNE,VLOOKUP("Pomme de terre",AlimentsRationHivernaleBisonsFemelles,4,FALSE),0)+(IF(QualitéAlimentsJeunesBisons_24_36_mois=MOYENNE,VLOOKUP("Pomme de terre",AlimentsRationHivernaleBisonsMâles,3,FALSE),0)+(IF(QualitéAlimentsJeunesBisonnes_24_36_mois=MOYENNE,VLOOKUP("Pomme de terre",AlimentsRationHivernaleBisonsFemelles,3,FALSE),0)+(IF(QualitéAlimentsBisons=MOYENNE,VLOOKUP("Pomme de terre",AlimentsRationHivernaleBisonsMâles,2,FALSE),0)+(IF(QualitéAlimentsBisonnes=MOYENNE,VLOOKUP("Pomme de terre",AlimentsRationHivernaleBisonsFemelles,2,FALSE),0))))))))))))))))</f>
        <v>0</v>
      </c>
      <c r="BP137" s="333">
        <f t="array" ref="BP137">SUM((IF(QualitéAlimentsBisonneauxMâles_0_3_mois=MAUVAISE,VLOOKUP("Pomme de terre",AlimentsRationHivernaleBisonsMâles,8,FALSE),0)+(IF(QualitéAlimentsBisonneauxFemelles_0_3_mois=MAUVAISE,VLOOKUP("Pomme de terre",AlimentsRationHivernaleBisonsFemelles,8,FALSE),0)+(IF(QualitéAlimentsBisonneauxMâles_3_6_mois=MAUVAISE,VLOOKUP("Pomme de terre",AlimentsRationHivernaleBisonsMâles,7,FALSE),0)+(IF(QualitéAlimentsBisonneauxFemelles_3_6_mois=MAUVAISE,VLOOKUP("Pomme de terre",AlimentsRationHivernaleBisonsFemelles,7,FALSE),0)+(IF(QualitéAlimentsBisonneauxMâles_6_12_mois=MAUVAISE,VLOOKUP("Pomme de terre",AlimentsRationHivernaleBisonsMâles,6,FALSE),0)+(IF(QualitéAlimentsBisonneauxFemelles_6_12_mois=MAUVAISE,VLOOKUP("Pomme de terre",AlimentsRationHivernaleBisonsFemelles,6,FALSE),0)+(IF(QualitéAlimentsJeunesBisons_12_18_mois=MAUVAISE,VLOOKUP("Pomme de terre",AlimentsRationHivernaleBisonsMâles,5,FALSE),0)+(IF(QualitéAlimentsJeunesBisonnes_12_18_mois=MAUVAISE,VLOOKUP("Pomme de terre",AlimentsRationHivernaleBisonsFemelles,5,FALSE),0)+(IF(QualitéAlimentsJeunesBisons_18_24_mois=MAUVAISE,VLOOKUP("Pomme de terre",AlimentsRationHivernaleBisonsMâles,4,FALSE),0)+(IF(QualitéAlimentsJeunesBisonnes_18_24_mois=MAUVAISE,VLOOKUP("Pomme de terre",AlimentsRationHivernaleBisonsFemelles,4,FALSE),0)+(IF(QualitéAlimentsJeunesBisons_24_36_mois=MAUVAISE,VLOOKUP("Pomme de terre",AlimentsRationHivernaleBisonsMâles,3,FALSE),0)+(IF(QualitéAlimentsJeunesBisonnes_24_36_mois=MAUVAISE,VLOOKUP("Pomme de terre",AlimentsRationHivernaleBisonsFemelles,3,FALSE),0)+(IF(QualitéAlimentsBisons=MAUVAISE,VLOOKUP("Pomme de terre",AlimentsRationHivernaleBisonsMâles,2,FALSE),0)+(IF(QualitéAlimentsBisonnes=MAUVAISE,VLOOKUP("Pomme de terre",AlimentsRationHivernaleBisonsFemelles,2,FALSE),0))))))))))))))))</f>
        <v>0</v>
      </c>
      <c r="BQ137" s="282"/>
      <c r="BR137" s="282"/>
      <c r="BS137" s="282"/>
      <c r="BT137" s="282"/>
      <c r="BU137" s="282"/>
      <c r="BX137" s="332" t="s">
        <v>733</v>
      </c>
      <c r="BY137" s="332">
        <f t="array" ref="BY137">IF(ChoixRationComplèteCaprins=OUI,0,IFERROR(IF(OR(AND(INDEX(Règles_caprins[Specificite],MATCH(ChoixRationCaprins&amp;$BX137,Règles_caprins[Ration]&amp;Règles_caprins[Aliment],0))="s1",IF($BX137=Spécificité1Caprins,1)),
INDEX(Règles_caprins[Specificite],MATCH(ChoixRationCaprins&amp;$BX137,Règles_caprins[Ration]&amp;Règles_caprins[Aliment],0))="c"),
INDEX(Règles_caprins[Valeur 12 et plus],MATCH(ChoixRationCaprins&amp;$BX137,Règles_caprins[Ration]&amp;Règles_caprins[Aliment],0)),0),0)*TotalBoucs*NbreJoursNourrirCaprins)</f>
        <v>0</v>
      </c>
      <c r="BZ137" s="332">
        <f t="array" ref="BZ137">IF(ChoixRationComplèteCaprins=OUI,0,IFERROR(IF(OR(AND(INDEX(Règles_caprins[Specificite],MATCH(ChoixRationCaprins&amp;$BX137,Règles_caprins[Ration]&amp;Règles_caprins[Aliment],0))="s1",IF($BX137=Spécificité1Caprins,1)),
INDEX(Règles_caprins[Specificite],MATCH(ChoixRationCaprins&amp;$BX137,Règles_caprins[Ration]&amp;Règles_caprins[Aliment],0))="c"),
INDEX(Règles_caprins[Valeur 6-12],MATCH(ChoixRationCaprins&amp;$BX137,Règles_caprins[Ration]&amp;Règles_caprins[Aliment],0)),0),0)*jeune_bouc_6_12_mois*NbreJoursNourrirCaprins)</f>
        <v>0</v>
      </c>
      <c r="CA137" s="332">
        <f t="array" ref="CA137">IF(ChoixRationComplèteCaprins=OUI,0,IFERROR(IF(OR(AND(INDEX(Règles_caprins[Specificite],MATCH(ChoixRationCaprins&amp;$BX137,Règles_caprins[Ration]&amp;Règles_caprins[Aliment],0))="s1",IF($BX137=Spécificité1Caprins,1)),
INDEX(Règles_caprins[Specificite],MATCH(ChoixRationCaprins&amp;$BX137,Règles_caprins[Ration]&amp;Règles_caprins[Aliment],0))="c"),
INDEX(Règles_caprins[Valeur 3-6],MATCH(ChoixRationCaprins&amp;$BX137,Règles_caprins[Ration]&amp;Règles_caprins[Aliment],0)),0),0)*chevreau_3_6_mois*NbreJoursNourrirCaprins)</f>
        <v>0</v>
      </c>
      <c r="CB137" s="332">
        <f t="array" ref="CB137">IF(ChoixRationComplèteCaprins=OUI,0,IFERROR(IF(OR(AND(INDEX(Règles_caprins[Specificite],MATCH(ChoixRationCaprins&amp;$BX137,Règles_caprins[Ration]&amp;Règles_caprins[Aliment],0))="s1",IF($BX137=Spécificité1Caprins,1)),
INDEX(Règles_caprins[Specificite],MATCH(ChoixRationCaprins&amp;$BX137,Règles_caprins[Ration]&amp;Règles_caprins[Aliment],0))="c"),
INDEX(Règles_caprins[Valeur 0-3],MATCH(ChoixRationCaprins&amp;$BX137,Règles_caprins[Ration]&amp;Règles_caprins[Aliment],0)),0),0)*chevreau_0_3_mois*NbreJoursNourrirCaprins)</f>
        <v>0</v>
      </c>
      <c r="CC137" s="332">
        <f t="shared" si="9"/>
        <v>0</v>
      </c>
      <c r="CH137" s="276"/>
    </row>
    <row r="138" spans="1:86" ht="12.75" customHeight="1" x14ac:dyDescent="0.2">
      <c r="A138" s="355" t="s">
        <v>138</v>
      </c>
      <c r="B138" s="364">
        <v>15</v>
      </c>
      <c r="BB138" s="369" t="s">
        <v>443</v>
      </c>
      <c r="BC138" s="344" t="s">
        <v>160</v>
      </c>
      <c r="BD138" s="344" t="s">
        <v>712</v>
      </c>
      <c r="BE138" s="370">
        <v>7.2</v>
      </c>
      <c r="BF138" s="370">
        <v>6</v>
      </c>
      <c r="BG138" s="370">
        <v>4</v>
      </c>
      <c r="BH138" s="370">
        <v>2</v>
      </c>
      <c r="BI138" s="370">
        <v>1.2</v>
      </c>
      <c r="BJ138" s="370">
        <v>0.6</v>
      </c>
      <c r="BK138" s="371">
        <v>0</v>
      </c>
      <c r="BL138" s="305"/>
      <c r="BM138" s="332" t="str">
        <f t="shared" si="10"/>
        <v>Pulpe déshydratée de betterave</v>
      </c>
      <c r="BN138" s="333">
        <f t="array" ref="BN138">SUM((IF(QualitéAlimentsBisonneauxMâles_0_3_mois=BONNE,VLOOKUP("Pulpe déshydratée de betterave",AlimentsRationHivernaleBisonsMâles,8,FALSE),0)+(IF(QualitéAlimentsBisonneauxFemelles_0_3_mois=BONNE,VLOOKUP("Pulpe déshydratée de betterave",AlimentsRationHivernaleBisonsFemelles,8,FALSE),0)+(IF(QualitéAlimentsBisonneauxMâles_3_6_mois=BONNE,VLOOKUP("Pulpe déshydratée de betterave",AlimentsRationHivernaleBisonsMâles,7,FALSE),0)+(IF(QualitéAlimentsBisonneauxFemelles_3_6_mois=BONNE,VLOOKUP("Pulpe déshydratée de betterave",AlimentsRationHivernaleBisonsFemelles,7,FALSE),0)+(IF(QualitéAlimentsBisonneauxMâles_6_12_mois=BONNE,VLOOKUP("Pulpe déshydratée de betterave",AlimentsRationHivernaleBisonsMâles,6,FALSE),0)+(IF(QualitéAlimentsBisonneauxFemelles_6_12_mois=BONNE,VLOOKUP("Pulpe déshydratée de betterave",AlimentsRationHivernaleBisonsFemelles,6,FALSE),0)+(IF(QualitéAlimentsJeunesBisons_12_18_mois=BONNE,VLOOKUP("Pulpe déshydratée de betterave",AlimentsRationHivernaleBisonsMâles,5,FALSE),0)+(IF(QualitéAlimentsJeunesBisonnes_12_18_mois=BONNE,VLOOKUP("Pulpe déshydratée de betterave",AlimentsRationHivernaleBisonsFemelles,5,FALSE),0)+(IF(QualitéAlimentsJeunesBisons_18_24_mois=BONNE,VLOOKUP("Pulpe déshydratée de betterave",AlimentsRationHivernaleBisonsMâles,4,FALSE),0)+(IF(QualitéAlimentsJeunesBisonnes_18_24_mois=BONNE,VLOOKUP("Pulpe déshydratée de betterave",AlimentsRationHivernaleBisonsFemelles,4,FALSE),0)+(IF(QualitéAlimentsJeunesBisons_24_36_mois=BONNE,VLOOKUP("Pulpe déshydratée de betterave",AlimentsRationHivernaleBisonsMâles,3,FALSE),0)+(IF(QualitéAlimentsJeunesBisonnes_24_36_mois=BONNE,VLOOKUP("Pulpe déshydratée de betterave",AlimentsRationHivernaleBisonsFemelles,3,FALSE),0)+(IF(QualitéAlimentsBisons=BONNE,VLOOKUP("Pulpe déshydratée de betterave",AlimentsRationHivernaleBisonsMâles,2,FALSE),0)+(IF(QualitéAlimentsBisonnes=BONNE,VLOOKUP("Pulpe déshydratée de betterave",AlimentsRationHivernaleBisonsFemelles,2,FALSE),0))))))))))))))))</f>
        <v>0</v>
      </c>
      <c r="BO138" s="333">
        <f t="array" ref="BO138">SUM((IF(QualitéAlimentsBisonneauxMâles_0_3_mois=MOYENNE,VLOOKUP("Pulpe déshydratée de betterave",AlimentsRationHivernaleBisonsMâles,8,FALSE),0)+(IF(QualitéAlimentsBisonneauxFemelles_0_3_mois=MOYENNE,VLOOKUP("Pulpe déshydratée de betterave",AlimentsRationHivernaleBisonsFemelles,8,FALSE),0)+(IF(QualitéAlimentsBisonneauxMâles_3_6_mois=MOYENNE,VLOOKUP("Pulpe déshydratée de betterave",AlimentsRationHivernaleBisonsMâles,7,FALSE),0)+(IF(QualitéAlimentsBisonneauxFemelles_3_6_mois=MOYENNE,VLOOKUP("Pulpe déshydratée de betterave",AlimentsRationHivernaleBisonsFemelles,7,FALSE),0)+(IF(QualitéAlimentsBisonneauxMâles_6_12_mois=MOYENNE,VLOOKUP("Pulpe déshydratée de betterave",AlimentsRationHivernaleBisonsMâles,6,FALSE),0)+(IF(QualitéAlimentsBisonneauxFemelles_6_12_mois=MOYENNE,VLOOKUP("Pulpe déshydratée de betterave",AlimentsRationHivernaleBisonsFemelles,6,FALSE),0)+(IF(QualitéAlimentsJeunesBisons_12_18_mois=MOYENNE,VLOOKUP("Pulpe déshydratée de betterave",AlimentsRationHivernaleBisonsMâles,5,FALSE),0)+(IF(QualitéAlimentsJeunesBisonnes_12_18_mois=MOYENNE,VLOOKUP("Pulpe déshydratée de betterave",AlimentsRationHivernaleBisonsFemelles,5,FALSE),0)+(IF(QualitéAlimentsJeunesBisons_18_24_mois=MOYENNE,VLOOKUP("Pulpe déshydratée de betterave",AlimentsRationHivernaleBisonsMâles,4,FALSE),0)+(IF(QualitéAlimentsJeunesBisonnes_18_24_mois=MOYENNE,VLOOKUP("Pulpe déshydratée de betterave",AlimentsRationHivernaleBisonsFemelles,4,FALSE),0)+(IF(QualitéAlimentsJeunesBisons_24_36_mois=MOYENNE,VLOOKUP("Pulpe déshydratée de betterave",AlimentsRationHivernaleBisonsMâles,3,FALSE),0)+(IF(QualitéAlimentsJeunesBisonnes_24_36_mois=MOYENNE,VLOOKUP("Pulpe déshydratée de betterave",AlimentsRationHivernaleBisonsFemelles,3,FALSE),0)+(IF(QualitéAlimentsBisons=MOYENNE,VLOOKUP("Pulpe déshydratée de betterave",AlimentsRationHivernaleBisonsMâles,2,FALSE),0)+(IF(QualitéAlimentsBisonnes=MOYENNE,VLOOKUP("Pulpe déshydratée de betterave",AlimentsRationHivernaleBisonsFemelles,2,FALSE),0))))))))))))))))</f>
        <v>0</v>
      </c>
      <c r="BP138" s="333">
        <f t="array" ref="BP138">SUM((IF(QualitéAlimentsBisonneauxMâles_0_3_mois=MAUVAISE,VLOOKUP("Pulpe déshydratée de betterave",AlimentsRationHivernaleBisonsMâles,8,FALSE),0)+(IF(QualitéAlimentsBisonneauxFemelles_0_3_mois=MAUVAISE,VLOOKUP("Pulpe déshydratée de betterave",AlimentsRationHivernaleBisonsFemelles,8,FALSE),0)+(IF(QualitéAlimentsBisonneauxMâles_3_6_mois=MAUVAISE,VLOOKUP("Pulpe déshydratée de betterave",AlimentsRationHivernaleBisonsMâles,7,FALSE),0)+(IF(QualitéAlimentsBisonneauxFemelles_3_6_mois=MAUVAISE,VLOOKUP("Pulpe déshydratée de betterave",AlimentsRationHivernaleBisonsFemelles,7,FALSE),0)+(IF(QualitéAlimentsBisonneauxMâles_6_12_mois=MAUVAISE,VLOOKUP("Pulpe déshydratée de betterave",AlimentsRationHivernaleBisonsMâles,6,FALSE),0)+(IF(QualitéAlimentsBisonneauxFemelles_6_12_mois=MAUVAISE,VLOOKUP("Pulpe déshydratée de betterave",AlimentsRationHivernaleBisonsFemelles,6,FALSE),0)+(IF(QualitéAlimentsJeunesBisons_12_18_mois=MAUVAISE,VLOOKUP("Pulpe déshydratée de betterave",AlimentsRationHivernaleBisonsMâles,5,FALSE),0)+(IF(QualitéAlimentsJeunesBisonnes_12_18_mois=MAUVAISE,VLOOKUP("Pulpe déshydratée de betterave",AlimentsRationHivernaleBisonsFemelles,5,FALSE),0)+(IF(QualitéAlimentsJeunesBisons_18_24_mois=MAUVAISE,VLOOKUP("Pulpe déshydratée de betterave",AlimentsRationHivernaleBisonsMâles,4,FALSE),0)+(IF(QualitéAlimentsJeunesBisonnes_18_24_mois=MAUVAISE,VLOOKUP("Pulpe déshydratée de betterave",AlimentsRationHivernaleBisonsFemelles,4,FALSE),0)+(IF(QualitéAlimentsJeunesBisons_24_36_mois=MAUVAISE,VLOOKUP("Pulpe déshydratée de betterave",AlimentsRationHivernaleBisonsMâles,3,FALSE),0)+(IF(QualitéAlimentsJeunesBisonnes_24_36_mois=MAUVAISE,VLOOKUP("Pulpe déshydratée de betterave",AlimentsRationHivernaleBisonsFemelles,3,FALSE),0)+(IF(QualitéAlimentsBisons=MAUVAISE,VLOOKUP("Pulpe déshydratée de betterave",AlimentsRationHivernaleBisonsMâles,2,FALSE),0)+(IF(QualitéAlimentsBisonnes=MAUVAISE,VLOOKUP("Pulpe déshydratée de betterave",AlimentsRationHivernaleBisonsFemelles,2,FALSE),0))))))))))))))))</f>
        <v>0</v>
      </c>
      <c r="BQ138" s="282"/>
      <c r="BR138" s="282"/>
      <c r="BS138" s="282"/>
      <c r="BT138" s="282"/>
      <c r="BU138" s="282"/>
      <c r="BX138" s="332" t="s">
        <v>47</v>
      </c>
      <c r="BY138" s="332">
        <f t="array" ref="BY138">IF(ChoixRationComplèteCaprins=OUI,0,IFERROR(IF(OR(AND(INDEX(Règles_caprins[Specificite],MATCH(ChoixRationCaprins&amp;$BX138,Règles_caprins[Ration]&amp;Règles_caprins[Aliment],0))="s1",IF($BX138=Spécificité1Caprins,1)),
INDEX(Règles_caprins[Specificite],MATCH(ChoixRationCaprins&amp;$BX138,Règles_caprins[Ration]&amp;Règles_caprins[Aliment],0))="c"),
INDEX(Règles_caprins[Valeur 12 et plus],MATCH(ChoixRationCaprins&amp;$BX138,Règles_caprins[Ration]&amp;Règles_caprins[Aliment],0)),0),0)*TotalBoucs*NbreJoursNourrirCaprins)</f>
        <v>0</v>
      </c>
      <c r="BZ138" s="332">
        <f t="array" ref="BZ138">IF(ChoixRationComplèteCaprins=OUI,0,IFERROR(IF(OR(AND(INDEX(Règles_caprins[Specificite],MATCH(ChoixRationCaprins&amp;$BX138,Règles_caprins[Ration]&amp;Règles_caprins[Aliment],0))="s1",IF($BX138=Spécificité1Caprins,1)),
INDEX(Règles_caprins[Specificite],MATCH(ChoixRationCaprins&amp;$BX138,Règles_caprins[Ration]&amp;Règles_caprins[Aliment],0))="c"),
INDEX(Règles_caprins[Valeur 6-12],MATCH(ChoixRationCaprins&amp;$BX138,Règles_caprins[Ration]&amp;Règles_caprins[Aliment],0)),0),0)*jeune_bouc_6_12_mois*NbreJoursNourrirCaprins)</f>
        <v>0</v>
      </c>
      <c r="CA138" s="332">
        <f t="array" ref="CA138">IF(ChoixRationComplèteCaprins=OUI,0,IFERROR(IF(OR(AND(INDEX(Règles_caprins[Specificite],MATCH(ChoixRationCaprins&amp;$BX138,Règles_caprins[Ration]&amp;Règles_caprins[Aliment],0))="s1",IF($BX138=Spécificité1Caprins,1)),
INDEX(Règles_caprins[Specificite],MATCH(ChoixRationCaprins&amp;$BX138,Règles_caprins[Ration]&amp;Règles_caprins[Aliment],0))="c"),
INDEX(Règles_caprins[Valeur 3-6],MATCH(ChoixRationCaprins&amp;$BX138,Règles_caprins[Ration]&amp;Règles_caprins[Aliment],0)),0),0)*chevreau_3_6_mois*NbreJoursNourrirCaprins)</f>
        <v>0</v>
      </c>
      <c r="CB138" s="332">
        <f t="array" ref="CB138">IF(ChoixRationComplèteCaprins=OUI,0,IFERROR(IF(OR(AND(INDEX(Règles_caprins[Specificite],MATCH(ChoixRationCaprins&amp;$BX138,Règles_caprins[Ration]&amp;Règles_caprins[Aliment],0))="s1",IF($BX138=Spécificité1Caprins,1)),
INDEX(Règles_caprins[Specificite],MATCH(ChoixRationCaprins&amp;$BX138,Règles_caprins[Ration]&amp;Règles_caprins[Aliment],0))="c"),
INDEX(Règles_caprins[Valeur 0-3],MATCH(ChoixRationCaprins&amp;$BX138,Règles_caprins[Ration]&amp;Règles_caprins[Aliment],0)),0),0)*chevreau_0_3_mois*NbreJoursNourrirCaprins)</f>
        <v>0</v>
      </c>
      <c r="CC138" s="332">
        <f t="shared" si="9"/>
        <v>0</v>
      </c>
      <c r="CH138" s="276"/>
    </row>
    <row r="139" spans="1:86" ht="12.75" customHeight="1" x14ac:dyDescent="0.2">
      <c r="A139" s="355" t="s">
        <v>119</v>
      </c>
      <c r="B139" s="364">
        <v>8</v>
      </c>
      <c r="BB139" s="369" t="s">
        <v>443</v>
      </c>
      <c r="BC139" s="344" t="s">
        <v>47</v>
      </c>
      <c r="BD139" s="344" t="s">
        <v>712</v>
      </c>
      <c r="BE139" s="370">
        <v>7.2</v>
      </c>
      <c r="BF139" s="370">
        <v>6</v>
      </c>
      <c r="BG139" s="370">
        <v>4</v>
      </c>
      <c r="BH139" s="370">
        <v>2</v>
      </c>
      <c r="BI139" s="370">
        <v>1.2</v>
      </c>
      <c r="BJ139" s="370">
        <v>0.6</v>
      </c>
      <c r="BK139" s="371">
        <v>0</v>
      </c>
      <c r="BL139" s="305"/>
      <c r="BM139" s="332" t="str">
        <f t="shared" si="10"/>
        <v>Ration complète</v>
      </c>
      <c r="BN139" s="333">
        <f t="array" ref="BN139">SUM((IF(QualitéAlimentsBisonneauxMâles_0_3_mois=BONNE,VLOOKUP("Ration complète",AlimentsRationHivernaleBisonsMâles,8,FALSE),0)+(IF(QualitéAlimentsBisonneauxFemelles_0_3_mois=BONNE,VLOOKUP("Ration complète",AlimentsRationHivernaleBisonsFemelles,8,FALSE),0)+(IF(QualitéAlimentsBisonneauxMâles_3_6_mois=BONNE,VLOOKUP("Ration complète",AlimentsRationHivernaleBisonsMâles,7,FALSE),0)+(IF(QualitéAlimentsBisonneauxFemelles_3_6_mois=BONNE,VLOOKUP("Ration complète",AlimentsRationHivernaleBisonsFemelles,7,FALSE),0)+(IF(QualitéAlimentsBisonneauxMâles_6_12_mois=BONNE,VLOOKUP("Ration complète",AlimentsRationHivernaleBisonsMâles,6,FALSE),0)+(IF(QualitéAlimentsBisonneauxFemelles_6_12_mois=BONNE,VLOOKUP("Ration complète",AlimentsRationHivernaleBisonsFemelles,6,FALSE),0)+(IF(QualitéAlimentsJeunesBisons_12_18_mois=BONNE,VLOOKUP("Ration complète",AlimentsRationHivernaleBisonsMâles,5,FALSE),0)+(IF(QualitéAlimentsJeunesBisonnes_12_18_mois=BONNE,VLOOKUP("Ration complète",AlimentsRationHivernaleBisonsFemelles,5,FALSE),0)+(IF(QualitéAlimentsJeunesBisons_18_24_mois=BONNE,VLOOKUP("Ration complète",AlimentsRationHivernaleBisonsMâles,4,FALSE),0)+(IF(QualitéAlimentsJeunesBisonnes_18_24_mois=BONNE,VLOOKUP("Ration complète",AlimentsRationHivernaleBisonsFemelles,4,FALSE),0)+(IF(QualitéAlimentsJeunesBisons_24_36_mois=BONNE,VLOOKUP("Ration complète",AlimentsRationHivernaleBisonsMâles,3,FALSE),0)+(IF(QualitéAlimentsJeunesBisonnes_24_36_mois=BONNE,VLOOKUP("Ration complète",AlimentsRationHivernaleBisonsFemelles,3,FALSE),0)+(IF(QualitéAlimentsBisons=BONNE,VLOOKUP("Ration complète",AlimentsRationHivernaleBisonsMâles,2,FALSE),0)+(IF(QualitéAlimentsBisonnes=BONNE,VLOOKUP("Ration complète",AlimentsRationHivernaleBisonsFemelles,2,FALSE),0))))))))))))))))</f>
        <v>0</v>
      </c>
      <c r="BO139" s="333">
        <f t="array" ref="BO139">SUM((IF(QualitéAlimentsBisonneauxMâles_0_3_mois=MOYENNE,VLOOKUP("Ration complète",AlimentsRationHivernaleBisonsMâles,8,FALSE),0)+(IF(QualitéAlimentsBisonneauxFemelles_0_3_mois=MOYENNE,VLOOKUP("Ration complète",AlimentsRationHivernaleBisonsFemelles,8,FALSE),0)+(IF(QualitéAlimentsBisonneauxMâles_3_6_mois=MOYENNE,VLOOKUP("Ration complète",AlimentsRationHivernaleBisonsMâles,7,FALSE),0)+(IF(QualitéAlimentsBisonneauxFemelles_3_6_mois=MOYENNE,VLOOKUP("Ration complète",AlimentsRationHivernaleBisonsFemelles,7,FALSE),0)+(IF(QualitéAlimentsBisonneauxMâles_6_12_mois=MOYENNE,VLOOKUP("Ration complète",AlimentsRationHivernaleBisonsMâles,6,FALSE),0)+(IF(QualitéAlimentsBisonneauxFemelles_6_12_mois=MOYENNE,VLOOKUP("Ration complète",AlimentsRationHivernaleBisonsFemelles,6,FALSE),0)+(IF(QualitéAlimentsJeunesBisons_12_18_mois=MOYENNE,VLOOKUP("Ration complète",AlimentsRationHivernaleBisonsMâles,5,FALSE),0)+(IF(QualitéAlimentsJeunesBisonnes_12_18_mois=MOYENNE,VLOOKUP("Ration complète",AlimentsRationHivernaleBisonsFemelles,5,FALSE),0)+(IF(QualitéAlimentsJeunesBisons_18_24_mois=MOYENNE,VLOOKUP("Ration complète",AlimentsRationHivernaleBisonsMâles,4,FALSE),0)+(IF(QualitéAlimentsJeunesBisonnes_18_24_mois=MOYENNE,VLOOKUP("Ration complète",AlimentsRationHivernaleBisonsFemelles,4,FALSE),0)+(IF(QualitéAlimentsJeunesBisons_24_36_mois=MOYENNE,VLOOKUP("Ration complète",AlimentsRationHivernaleBisonsMâles,3,FALSE),0)+(IF(QualitéAlimentsJeunesBisonnes_24_36_mois=MOYENNE,VLOOKUP("Ration complète",AlimentsRationHivernaleBisonsFemelles,3,FALSE),0)+(IF(QualitéAlimentsBisons=MOYENNE,VLOOKUP("Ration complète",AlimentsRationHivernaleBisonsMâles,2,FALSE),0)+(IF(QualitéAlimentsBisonnes=MOYENNE,VLOOKUP("Ration complète",AlimentsRationHivernaleBisonsFemelles,2,FALSE),0))))))))))))))))</f>
        <v>0</v>
      </c>
      <c r="BP139" s="333">
        <f t="array" ref="BP139">SUM((IF(QualitéAlimentsBisonneauxMâles_0_3_mois=MAUVAISE,VLOOKUP("Ration complète",AlimentsRationHivernaleBisonsMâles,8,FALSE),0)+(IF(QualitéAlimentsBisonneauxFemelles_0_3_mois=MAUVAISE,VLOOKUP("Ration complète",AlimentsRationHivernaleBisonsFemelles,8,FALSE),0)+(IF(QualitéAlimentsBisonneauxMâles_3_6_mois=MAUVAISE,VLOOKUP("Ration complète",AlimentsRationHivernaleBisonsMâles,7,FALSE),0)+(IF(QualitéAlimentsBisonneauxFemelles_3_6_mois=MAUVAISE,VLOOKUP("Ration complète",AlimentsRationHivernaleBisonsFemelles,7,FALSE),0)+(IF(QualitéAlimentsBisonneauxMâles_6_12_mois=MAUVAISE,VLOOKUP("Ration complète",AlimentsRationHivernaleBisonsMâles,6,FALSE),0)+(IF(QualitéAlimentsBisonneauxFemelles_6_12_mois=MAUVAISE,VLOOKUP("Ration complète",AlimentsRationHivernaleBisonsFemelles,6,FALSE),0)+(IF(QualitéAlimentsJeunesBisons_12_18_mois=MAUVAISE,VLOOKUP("Ration complète",AlimentsRationHivernaleBisonsMâles,5,FALSE),0)+(IF(QualitéAlimentsJeunesBisonnes_12_18_mois=MAUVAISE,VLOOKUP("Ration complète",AlimentsRationHivernaleBisonsFemelles,5,FALSE),0)+(IF(QualitéAlimentsJeunesBisons_18_24_mois=MAUVAISE,VLOOKUP("Ration complète",AlimentsRationHivernaleBisonsMâles,4,FALSE),0)+(IF(QualitéAlimentsJeunesBisonnes_18_24_mois=MAUVAISE,VLOOKUP("Ration complète",AlimentsRationHivernaleBisonsFemelles,4,FALSE),0)+(IF(QualitéAlimentsJeunesBisons_24_36_mois=MAUVAISE,VLOOKUP("Ration complète",AlimentsRationHivernaleBisonsMâles,3,FALSE),0)+(IF(QualitéAlimentsJeunesBisonnes_24_36_mois=MAUVAISE,VLOOKUP("Ration complète",AlimentsRationHivernaleBisonsFemelles,3,FALSE),0)+(IF(QualitéAlimentsBisons=MAUVAISE,VLOOKUP("Ration complète",AlimentsRationHivernaleBisonsMâles,2,FALSE),0)+(IF(QualitéAlimentsBisonnes=MAUVAISE,VLOOKUP("Ration complète",AlimentsRationHivernaleBisonsFemelles,2,FALSE),0))))))))))))))))</f>
        <v>0</v>
      </c>
      <c r="BQ139" s="282"/>
      <c r="BR139" s="282"/>
      <c r="BS139" s="282"/>
      <c r="BT139" s="282"/>
      <c r="BU139" s="282"/>
      <c r="BX139" s="339"/>
      <c r="BY139" s="332">
        <f t="array" ref="BY139">IF(ChoixRationComplèteCaprins=OUI,0,IFERROR(IF(OR(AND(INDEX(Règles_caprins[Specificite],MATCH(ChoixRationCaprins&amp;$BX139,Règles_caprins[Ration]&amp;Règles_caprins[Aliment],0))="s1",IF($BX139=Spécificité1Caprins,1)),
INDEX(Règles_caprins[Specificite],MATCH(ChoixRationCaprins&amp;$BX139,Règles_caprins[Ration]&amp;Règles_caprins[Aliment],0))="c"),
INDEX(Règles_caprins[Valeur 12 et plus],MATCH(ChoixRationCaprins&amp;$BX139,Règles_caprins[Ration]&amp;Règles_caprins[Aliment],0)),0),0)*TotalBoucs*NbreJoursNourrirCaprins)</f>
        <v>0</v>
      </c>
      <c r="BZ139" s="332">
        <f t="array" ref="BZ139">IF(ChoixRationComplèteCaprins=OUI,0,IFERROR(IF(OR(AND(INDEX(Règles_caprins[Specificite],MATCH(ChoixRationCaprins&amp;$BX139,Règles_caprins[Ration]&amp;Règles_caprins[Aliment],0))="s1",IF($BX139=Spécificité1Caprins,1)),
INDEX(Règles_caprins[Specificite],MATCH(ChoixRationCaprins&amp;$BX139,Règles_caprins[Ration]&amp;Règles_caprins[Aliment],0))="c"),
INDEX(Règles_caprins[Valeur 6-12],MATCH(ChoixRationCaprins&amp;$BX139,Règles_caprins[Ration]&amp;Règles_caprins[Aliment],0)),0),0)*jeune_bouc_6_12_mois*NbreJoursNourrirCaprins)</f>
        <v>0</v>
      </c>
      <c r="CA139" s="332">
        <f t="array" ref="CA139">IF(ChoixRationComplèteCaprins=OUI,0,IFERROR(IF(OR(AND(INDEX(Règles_caprins[Specificite],MATCH(ChoixRationCaprins&amp;$BX139,Règles_caprins[Ration]&amp;Règles_caprins[Aliment],0))="s1",IF($BX139=Spécificité1Caprins,1)),
INDEX(Règles_caprins[Specificite],MATCH(ChoixRationCaprins&amp;$BX139,Règles_caprins[Ration]&amp;Règles_caprins[Aliment],0))="c"),
INDEX(Règles_caprins[Valeur 3-6],MATCH(ChoixRationCaprins&amp;$BX139,Règles_caprins[Ration]&amp;Règles_caprins[Aliment],0)),0),0)*chevreau_3_6_mois*NbreJoursNourrirCaprins)</f>
        <v>0</v>
      </c>
      <c r="CB139" s="332">
        <f t="array" ref="CB139">IF(ChoixRationComplèteCaprins=OUI,0,IFERROR(IF(OR(AND(INDEX(Règles_caprins[Specificite],MATCH(ChoixRationCaprins&amp;$BX139,Règles_caprins[Ration]&amp;Règles_caprins[Aliment],0))="s1",IF($BX139=Spécificité1Caprins,1)),
INDEX(Règles_caprins[Specificite],MATCH(ChoixRationCaprins&amp;$BX139,Règles_caprins[Ration]&amp;Règles_caprins[Aliment],0))="c"),
INDEX(Règles_caprins[Valeur 0-3],MATCH(ChoixRationCaprins&amp;$BX139,Règles_caprins[Ration]&amp;Règles_caprins[Aliment],0)),0),0)*chevreau_0_3_mois*NbreJoursNourrirCaprins)</f>
        <v>0</v>
      </c>
      <c r="CC139" s="332">
        <f t="shared" si="9"/>
        <v>0</v>
      </c>
      <c r="CH139" s="276"/>
    </row>
    <row r="140" spans="1:86" ht="12.75" customHeight="1" x14ac:dyDescent="0.2">
      <c r="A140" s="355" t="s">
        <v>184</v>
      </c>
      <c r="B140" s="364">
        <v>6</v>
      </c>
      <c r="BB140" s="369" t="s">
        <v>443</v>
      </c>
      <c r="BC140" s="344" t="s">
        <v>732</v>
      </c>
      <c r="BD140" s="344" t="s">
        <v>713</v>
      </c>
      <c r="BE140" s="370">
        <v>4.8</v>
      </c>
      <c r="BF140" s="370">
        <v>4</v>
      </c>
      <c r="BG140" s="370">
        <v>4</v>
      </c>
      <c r="BH140" s="370">
        <v>4</v>
      </c>
      <c r="BI140" s="370">
        <v>2</v>
      </c>
      <c r="BJ140" s="370">
        <v>1.2</v>
      </c>
      <c r="BK140" s="371">
        <v>0</v>
      </c>
      <c r="BL140" s="305"/>
      <c r="BM140" s="332" t="str">
        <f t="shared" si="10"/>
        <v>Seigle</v>
      </c>
      <c r="BN140" s="333">
        <f t="array" ref="BN140">SUM((IF(QualitéAlimentsBisonneauxMâles_0_3_mois=BONNE,VLOOKUP("Seigle",AlimentsRationHivernaleBisonsMâles,8,FALSE),0)+(IF(QualitéAlimentsBisonneauxFemelles_0_3_mois=BONNE,VLOOKUP("Seigle",AlimentsRationHivernaleBisonsFemelles,8,FALSE),0)+(IF(QualitéAlimentsBisonneauxMâles_3_6_mois=BONNE,VLOOKUP("Seigle",AlimentsRationHivernaleBisonsMâles,7,FALSE),0)+(IF(QualitéAlimentsBisonneauxFemelles_3_6_mois=BONNE,VLOOKUP("Seigle",AlimentsRationHivernaleBisonsFemelles,7,FALSE),0)+(IF(QualitéAlimentsBisonneauxMâles_6_12_mois=BONNE,VLOOKUP("Seigle",AlimentsRationHivernaleBisonsMâles,6,FALSE),0)+(IF(QualitéAlimentsBisonneauxFemelles_6_12_mois=BONNE,VLOOKUP("Seigle",AlimentsRationHivernaleBisonsFemelles,6,FALSE),0)+(IF(QualitéAlimentsJeunesBisons_12_18_mois=BONNE,VLOOKUP("Seigle",AlimentsRationHivernaleBisonsMâles,5,FALSE),0)+(IF(QualitéAlimentsJeunesBisonnes_12_18_mois=BONNE,VLOOKUP("Seigle",AlimentsRationHivernaleBisonsFemelles,5,FALSE),0)+(IF(QualitéAlimentsJeunesBisons_18_24_mois=BONNE,VLOOKUP("Seigle",AlimentsRationHivernaleBisonsMâles,4,FALSE),0)+(IF(QualitéAlimentsJeunesBisonnes_18_24_mois=BONNE,VLOOKUP("Seigle",AlimentsRationHivernaleBisonsFemelles,4,FALSE),0)+(IF(QualitéAlimentsJeunesBisons_24_36_mois=BONNE,VLOOKUP("Seigle",AlimentsRationHivernaleBisonsMâles,3,FALSE),0)+(IF(QualitéAlimentsJeunesBisonnes_24_36_mois=BONNE,VLOOKUP("Seigle",AlimentsRationHivernaleBisonsFemelles,3,FALSE),0)+(IF(QualitéAlimentsBisons=BONNE,VLOOKUP("Seigle",AlimentsRationHivernaleBisonsMâles,2,FALSE),0)+(IF(QualitéAlimentsBisonnes=BONNE,VLOOKUP("Seigle",AlimentsRationHivernaleBisonsFemelles,2,FALSE),0))))))))))))))))</f>
        <v>0</v>
      </c>
      <c r="BO140" s="333">
        <f t="array" ref="BO140">SUM((IF(QualitéAlimentsBisonneauxMâles_0_3_mois=MOYENNE,VLOOKUP("Seigle",AlimentsRationHivernaleBisonsMâles,8,FALSE),0)+(IF(QualitéAlimentsBisonneauxFemelles_0_3_mois=MOYENNE,VLOOKUP("Seigle",AlimentsRationHivernaleBisonsFemelles,8,FALSE),0)+(IF(QualitéAlimentsBisonneauxMâles_3_6_mois=MOYENNE,VLOOKUP("Seigle",AlimentsRationHivernaleBisonsMâles,7,FALSE),0)+(IF(QualitéAlimentsBisonneauxFemelles_3_6_mois=MOYENNE,VLOOKUP("Seigle",AlimentsRationHivernaleBisonsFemelles,7,FALSE),0)+(IF(QualitéAlimentsBisonneauxMâles_6_12_mois=MOYENNE,VLOOKUP("Seigle",AlimentsRationHivernaleBisonsMâles,6,FALSE),0)+(IF(QualitéAlimentsBisonneauxFemelles_6_12_mois=MOYENNE,VLOOKUP("Seigle",AlimentsRationHivernaleBisonsFemelles,6,FALSE),0)+(IF(QualitéAlimentsJeunesBisons_12_18_mois=MOYENNE,VLOOKUP("Seigle",AlimentsRationHivernaleBisonsMâles,5,FALSE),0)+(IF(QualitéAlimentsJeunesBisonnes_12_18_mois=MOYENNE,VLOOKUP("Seigle",AlimentsRationHivernaleBisonsFemelles,5,FALSE),0)+(IF(QualitéAlimentsJeunesBisons_18_24_mois=MOYENNE,VLOOKUP("Seigle",AlimentsRationHivernaleBisonsMâles,4,FALSE),0)+(IF(QualitéAlimentsJeunesBisonnes_18_24_mois=MOYENNE,VLOOKUP("Seigle",AlimentsRationHivernaleBisonsFemelles,4,FALSE),0)+(IF(QualitéAlimentsJeunesBisons_24_36_mois=MOYENNE,VLOOKUP("Seigle",AlimentsRationHivernaleBisonsMâles,3,FALSE),0)+(IF(QualitéAlimentsJeunesBisonnes_24_36_mois=MOYENNE,VLOOKUP("Seigle",AlimentsRationHivernaleBisonsFemelles,3,FALSE),0)+(IF(QualitéAlimentsBisons=MOYENNE,VLOOKUP("Seigle",AlimentsRationHivernaleBisonsMâles,2,FALSE),0)+(IF(QualitéAlimentsBisonnes=MOYENNE,VLOOKUP("Seigle",AlimentsRationHivernaleBisonsFemelles,2,FALSE),0))))))))))))))))</f>
        <v>0</v>
      </c>
      <c r="BP140" s="333">
        <f t="array" ref="BP140">SUM((IF(QualitéAlimentsBisonneauxMâles_0_3_mois=MAUVAISE,VLOOKUP("Seigle",AlimentsRationHivernaleBisonsMâles,8,FALSE),0)+(IF(QualitéAlimentsBisonneauxFemelles_0_3_mois=MAUVAISE,VLOOKUP("Seigle",AlimentsRationHivernaleBisonsFemelles,8,FALSE),0)+(IF(QualitéAlimentsBisonneauxMâles_3_6_mois=MAUVAISE,VLOOKUP("Seigle",AlimentsRationHivernaleBisonsMâles,7,FALSE),0)+(IF(QualitéAlimentsBisonneauxFemelles_3_6_mois=MAUVAISE,VLOOKUP("Seigle",AlimentsRationHivernaleBisonsFemelles,7,FALSE),0)+(IF(QualitéAlimentsBisonneauxMâles_6_12_mois=MAUVAISE,VLOOKUP("Seigle",AlimentsRationHivernaleBisonsMâles,6,FALSE),0)+(IF(QualitéAlimentsBisonneauxFemelles_6_12_mois=MAUVAISE,VLOOKUP("Seigle",AlimentsRationHivernaleBisonsFemelles,6,FALSE),0)+(IF(QualitéAlimentsJeunesBisons_12_18_mois=MAUVAISE,VLOOKUP("Seigle",AlimentsRationHivernaleBisonsMâles,5,FALSE),0)+(IF(QualitéAlimentsJeunesBisonnes_12_18_mois=MAUVAISE,VLOOKUP("Seigle",AlimentsRationHivernaleBisonsFemelles,5,FALSE),0)+(IF(QualitéAlimentsJeunesBisons_18_24_mois=MAUVAISE,VLOOKUP("Seigle",AlimentsRationHivernaleBisonsMâles,4,FALSE),0)+(IF(QualitéAlimentsJeunesBisonnes_18_24_mois=MAUVAISE,VLOOKUP("Seigle",AlimentsRationHivernaleBisonsFemelles,4,FALSE),0)+(IF(QualitéAlimentsJeunesBisons_24_36_mois=MAUVAISE,VLOOKUP("Seigle",AlimentsRationHivernaleBisonsMâles,3,FALSE),0)+(IF(QualitéAlimentsJeunesBisonnes_24_36_mois=MAUVAISE,VLOOKUP("Seigle",AlimentsRationHivernaleBisonsFemelles,3,FALSE),0)+(IF(QualitéAlimentsBisons=MAUVAISE,VLOOKUP("Seigle",AlimentsRationHivernaleBisonsMâles,2,FALSE),0)+(IF(QualitéAlimentsBisonnes=MAUVAISE,VLOOKUP("Seigle",AlimentsRationHivernaleBisonsFemelles,2,FALSE),0))))))))))))))))</f>
        <v>0</v>
      </c>
      <c r="BQ140" s="282"/>
      <c r="BR140" s="282"/>
      <c r="BS140" s="282"/>
      <c r="BT140" s="282"/>
      <c r="BU140" s="282"/>
      <c r="BX140" s="394"/>
      <c r="BY140" s="395">
        <f t="array" ref="BY140">IF(ChoixRationComplèteCaprins=OUI,0,IFERROR(IF(OR(AND(INDEX(Règles_caprins[Specificite],MATCH(ChoixRationCaprins&amp;$BX140,Règles_caprins[Ration]&amp;Règles_caprins[Aliment],0))="s1",IF($BX140=Spécificité1Caprins,1)),
INDEX(Règles_caprins[Specificite],MATCH(ChoixRationCaprins&amp;$BX140,Règles_caprins[Ration]&amp;Règles_caprins[Aliment],0))="c"),
INDEX(Règles_caprins[Valeur 12 et plus],MATCH(ChoixRationCaprins&amp;$BX140,Règles_caprins[Ration]&amp;Règles_caprins[Aliment],0)),0),0)*TotalBoucs*NbreJoursNourrirCaprins)</f>
        <v>0</v>
      </c>
      <c r="BZ140" s="395">
        <f t="array" ref="BZ140">IF(ChoixRationComplèteCaprins=OUI,0,IFERROR(IF(OR(AND(INDEX(Règles_caprins[Specificite],MATCH(ChoixRationCaprins&amp;$BX140,Règles_caprins[Ration]&amp;Règles_caprins[Aliment],0))="s1",IF($BX140=Spécificité1Caprins,1)),
INDEX(Règles_caprins[Specificite],MATCH(ChoixRationCaprins&amp;$BX140,Règles_caprins[Ration]&amp;Règles_caprins[Aliment],0))="c"),
INDEX(Règles_caprins[Valeur 6-12],MATCH(ChoixRationCaprins&amp;$BX140,Règles_caprins[Ration]&amp;Règles_caprins[Aliment],0)),0),0)*jeune_bouc_6_12_mois*NbreJoursNourrirCaprins)</f>
        <v>0</v>
      </c>
      <c r="CA140" s="395">
        <f t="array" ref="CA140">IF(ChoixRationComplèteCaprins=OUI,0,IFERROR(IF(OR(AND(INDEX(Règles_caprins[Specificite],MATCH(ChoixRationCaprins&amp;$BX140,Règles_caprins[Ration]&amp;Règles_caprins[Aliment],0))="s1",IF($BX140=Spécificité1Caprins,1)),
INDEX(Règles_caprins[Specificite],MATCH(ChoixRationCaprins&amp;$BX140,Règles_caprins[Ration]&amp;Règles_caprins[Aliment],0))="c"),
INDEX(Règles_caprins[Valeur 3-6],MATCH(ChoixRationCaprins&amp;$BX140,Règles_caprins[Ration]&amp;Règles_caprins[Aliment],0)),0),0)*chevreau_3_6_mois*NbreJoursNourrirCaprins)</f>
        <v>0</v>
      </c>
      <c r="CB140" s="395">
        <f t="array" ref="CB140">IF(ChoixRationComplèteCaprins=OUI,0,IFERROR(IF(OR(AND(INDEX(Règles_caprins[Specificite],MATCH(ChoixRationCaprins&amp;$BX140,Règles_caprins[Ration]&amp;Règles_caprins[Aliment],0))="s1",IF($BX140=Spécificité1Caprins,1)),
INDEX(Règles_caprins[Specificite],MATCH(ChoixRationCaprins&amp;$BX140,Règles_caprins[Ration]&amp;Règles_caprins[Aliment],0))="c"),
INDEX(Règles_caprins[Valeur 0-3],MATCH(ChoixRationCaprins&amp;$BX140,Règles_caprins[Ration]&amp;Règles_caprins[Aliment],0)),0),0)*chevreau_0_3_mois*NbreJoursNourrirCaprins)</f>
        <v>0</v>
      </c>
      <c r="CC140" s="396">
        <f t="shared" si="9"/>
        <v>0</v>
      </c>
      <c r="CH140" s="276"/>
    </row>
    <row r="141" spans="1:86" ht="12.75" customHeight="1" x14ac:dyDescent="0.2">
      <c r="A141" s="355" t="s">
        <v>185</v>
      </c>
      <c r="B141" s="364">
        <v>4</v>
      </c>
      <c r="BB141" s="369" t="s">
        <v>443</v>
      </c>
      <c r="BC141" s="344" t="s">
        <v>426</v>
      </c>
      <c r="BD141" s="344" t="s">
        <v>713</v>
      </c>
      <c r="BE141" s="370">
        <v>4.8</v>
      </c>
      <c r="BF141" s="370">
        <v>4</v>
      </c>
      <c r="BG141" s="370">
        <v>4</v>
      </c>
      <c r="BH141" s="370">
        <v>4</v>
      </c>
      <c r="BI141" s="370">
        <v>2</v>
      </c>
      <c r="BJ141" s="370">
        <v>1.2</v>
      </c>
      <c r="BK141" s="371">
        <v>0</v>
      </c>
      <c r="BL141" s="305"/>
      <c r="BM141" s="332" t="str">
        <f t="shared" si="10"/>
        <v>Soja</v>
      </c>
      <c r="BN141" s="333">
        <f t="array" ref="BN141">SUM((IF(QualitéAlimentsBisonneauxMâles_0_3_mois=BONNE,VLOOKUP("Soja",AlimentsRationHivernaleBisonsMâles,8,FALSE),0)+(IF(QualitéAlimentsBisonneauxFemelles_0_3_mois=BONNE,VLOOKUP("Soja",AlimentsRationHivernaleBisonsFemelles,8,FALSE),0)+(IF(QualitéAlimentsBisonneauxMâles_3_6_mois=BONNE,VLOOKUP("Soja",AlimentsRationHivernaleBisonsMâles,7,FALSE),0)+(IF(QualitéAlimentsBisonneauxFemelles_3_6_mois=BONNE,VLOOKUP("Soja",AlimentsRationHivernaleBisonsFemelles,7,FALSE),0)+(IF(QualitéAlimentsBisonneauxMâles_6_12_mois=BONNE,VLOOKUP("Soja",AlimentsRationHivernaleBisonsMâles,6,FALSE),0)+(IF(QualitéAlimentsBisonneauxFemelles_6_12_mois=BONNE,VLOOKUP("Soja",AlimentsRationHivernaleBisonsFemelles,6,FALSE),0)+(IF(QualitéAlimentsJeunesBisons_12_18_mois=BONNE,VLOOKUP("Soja",AlimentsRationHivernaleBisonsMâles,5,FALSE),0)+(IF(QualitéAlimentsJeunesBisonnes_12_18_mois=BONNE,VLOOKUP("Soja",AlimentsRationHivernaleBisonsFemelles,5,FALSE),0)+(IF(QualitéAlimentsJeunesBisons_18_24_mois=BONNE,VLOOKUP("Soja",AlimentsRationHivernaleBisonsMâles,4,FALSE),0)+(IF(QualitéAlimentsJeunesBisonnes_18_24_mois=BONNE,VLOOKUP("Soja",AlimentsRationHivernaleBisonsFemelles,4,FALSE),0)+(IF(QualitéAlimentsJeunesBisons_24_36_mois=BONNE,VLOOKUP("Soja",AlimentsRationHivernaleBisonsMâles,3,FALSE),0)+(IF(QualitéAlimentsJeunesBisonnes_24_36_mois=BONNE,VLOOKUP("Soja",AlimentsRationHivernaleBisonsFemelles,3,FALSE),0)+(IF(QualitéAlimentsBisons=BONNE,VLOOKUP("Soja",AlimentsRationHivernaleBisonsMâles,2,FALSE),0)+(IF(QualitéAlimentsBisonnes=BONNE,VLOOKUP("Soja",AlimentsRationHivernaleBisonsFemelles,2,FALSE),0))))))))))))))))</f>
        <v>0</v>
      </c>
      <c r="BO141" s="333">
        <f t="array" ref="BO141">SUM((IF(QualitéAlimentsBisonneauxMâles_0_3_mois=MOYENNE,VLOOKUP("Soja",AlimentsRationHivernaleBisonsMâles,8,FALSE),0)+(IF(QualitéAlimentsBisonneauxFemelles_0_3_mois=MOYENNE,VLOOKUP("Soja",AlimentsRationHivernaleBisonsFemelles,8,FALSE),0)+(IF(QualitéAlimentsBisonneauxMâles_3_6_mois=MOYENNE,VLOOKUP("Soja",AlimentsRationHivernaleBisonsMâles,7,FALSE),0)+(IF(QualitéAlimentsBisonneauxFemelles_3_6_mois=MOYENNE,VLOOKUP("Soja",AlimentsRationHivernaleBisonsFemelles,7,FALSE),0)+(IF(QualitéAlimentsBisonneauxMâles_6_12_mois=MOYENNE,VLOOKUP("Soja",AlimentsRationHivernaleBisonsMâles,6,FALSE),0)+(IF(QualitéAlimentsBisonneauxFemelles_6_12_mois=MOYENNE,VLOOKUP("Soja",AlimentsRationHivernaleBisonsFemelles,6,FALSE),0)+(IF(QualitéAlimentsJeunesBisons_12_18_mois=MOYENNE,VLOOKUP("Soja",AlimentsRationHivernaleBisonsMâles,5,FALSE),0)+(IF(QualitéAlimentsJeunesBisonnes_12_18_mois=MOYENNE,VLOOKUP("Soja",AlimentsRationHivernaleBisonsFemelles,5,FALSE),0)+(IF(QualitéAlimentsJeunesBisons_18_24_mois=MOYENNE,VLOOKUP("Soja",AlimentsRationHivernaleBisonsMâles,4,FALSE),0)+(IF(QualitéAlimentsJeunesBisonnes_18_24_mois=MOYENNE,VLOOKUP("Soja",AlimentsRationHivernaleBisonsFemelles,4,FALSE),0)+(IF(QualitéAlimentsJeunesBisons_24_36_mois=MOYENNE,VLOOKUP("Soja",AlimentsRationHivernaleBisonsMâles,3,FALSE),0)+(IF(QualitéAlimentsJeunesBisonnes_24_36_mois=MOYENNE,VLOOKUP("Soja",AlimentsRationHivernaleBisonsFemelles,3,FALSE),0)+(IF(QualitéAlimentsBisons=MOYENNE,VLOOKUP("Soja",AlimentsRationHivernaleBisonsMâles,2,FALSE),0)+(IF(QualitéAlimentsBisonnes=MOYENNE,VLOOKUP("Soja",AlimentsRationHivernaleBisonsFemelles,2,FALSE),0))))))))))))))))</f>
        <v>0</v>
      </c>
      <c r="BP141" s="333">
        <f t="array" ref="BP141">SUM((IF(QualitéAlimentsBisonneauxMâles_0_3_mois=MAUVAISE,VLOOKUP("Soja",AlimentsRationHivernaleBisonsMâles,8,FALSE),0)+(IF(QualitéAlimentsBisonneauxFemelles_0_3_mois=MAUVAISE,VLOOKUP("Soja",AlimentsRationHivernaleBisonsFemelles,8,FALSE),0)+(IF(QualitéAlimentsBisonneauxMâles_3_6_mois=MAUVAISE,VLOOKUP("Soja",AlimentsRationHivernaleBisonsMâles,7,FALSE),0)+(IF(QualitéAlimentsBisonneauxFemelles_3_6_mois=MAUVAISE,VLOOKUP("Soja",AlimentsRationHivernaleBisonsFemelles,7,FALSE),0)+(IF(QualitéAlimentsBisonneauxMâles_6_12_mois=MAUVAISE,VLOOKUP("Soja",AlimentsRationHivernaleBisonsMâles,6,FALSE),0)+(IF(QualitéAlimentsBisonneauxFemelles_6_12_mois=MAUVAISE,VLOOKUP("Soja",AlimentsRationHivernaleBisonsFemelles,6,FALSE),0)+(IF(QualitéAlimentsJeunesBisons_12_18_mois=MAUVAISE,VLOOKUP("Soja",AlimentsRationHivernaleBisonsMâles,5,FALSE),0)+(IF(QualitéAlimentsJeunesBisonnes_12_18_mois=MAUVAISE,VLOOKUP("Soja",AlimentsRationHivernaleBisonsFemelles,5,FALSE),0)+(IF(QualitéAlimentsJeunesBisons_18_24_mois=MAUVAISE,VLOOKUP("Soja",AlimentsRationHivernaleBisonsMâles,4,FALSE),0)+(IF(QualitéAlimentsJeunesBisonnes_18_24_mois=MAUVAISE,VLOOKUP("Soja",AlimentsRationHivernaleBisonsFemelles,4,FALSE),0)+(IF(QualitéAlimentsJeunesBisons_24_36_mois=MAUVAISE,VLOOKUP("Soja",AlimentsRationHivernaleBisonsMâles,3,FALSE),0)+(IF(QualitéAlimentsJeunesBisonnes_24_36_mois=MAUVAISE,VLOOKUP("Soja",AlimentsRationHivernaleBisonsFemelles,3,FALSE),0)+(IF(QualitéAlimentsBisons=MAUVAISE,VLOOKUP("Soja",AlimentsRationHivernaleBisonsMâles,2,FALSE),0)+(IF(QualitéAlimentsBisonnes=MAUVAISE,VLOOKUP("Soja",AlimentsRationHivernaleBisonsFemelles,2,FALSE),0))))))))))))))))</f>
        <v>0</v>
      </c>
      <c r="BQ141" s="282"/>
      <c r="BR141" s="282"/>
      <c r="BS141" s="282"/>
      <c r="BT141" s="282"/>
      <c r="BU141" s="282"/>
      <c r="CB141" s="281"/>
      <c r="CC141" s="281"/>
    </row>
    <row r="142" spans="1:86" ht="12.75" customHeight="1" x14ac:dyDescent="0.2">
      <c r="A142" s="355" t="s">
        <v>110</v>
      </c>
      <c r="B142" s="364">
        <v>20</v>
      </c>
      <c r="BB142" s="369" t="s">
        <v>443</v>
      </c>
      <c r="BC142" s="344" t="s">
        <v>42</v>
      </c>
      <c r="BD142" s="344" t="s">
        <v>713</v>
      </c>
      <c r="BE142" s="370">
        <v>4.8</v>
      </c>
      <c r="BF142" s="370">
        <v>4</v>
      </c>
      <c r="BG142" s="370">
        <v>4</v>
      </c>
      <c r="BH142" s="370">
        <v>4</v>
      </c>
      <c r="BI142" s="370">
        <v>2</v>
      </c>
      <c r="BJ142" s="370">
        <v>1.2</v>
      </c>
      <c r="BK142" s="371">
        <v>0</v>
      </c>
      <c r="BL142" s="305"/>
      <c r="BM142" s="332" t="str">
        <f t="shared" si="10"/>
        <v>Sorgho ensilé</v>
      </c>
      <c r="BN142" s="333">
        <f t="array" ref="BN142">SUM((IF(QualitéAlimentsBisonneauxMâles_0_3_mois=BONNE,VLOOKUP("Sorgho ensilé",AlimentsRationHivernaleBisonsMâles,8,FALSE),0)+(IF(QualitéAlimentsBisonneauxFemelles_0_3_mois=BONNE,VLOOKUP("Sorgho ensilé",AlimentsRationHivernaleBisonsFemelles,8,FALSE),0)+(IF(QualitéAlimentsBisonneauxMâles_3_6_mois=BONNE,VLOOKUP("Sorgho ensilé",AlimentsRationHivernaleBisonsMâles,7,FALSE),0)+(IF(QualitéAlimentsBisonneauxFemelles_3_6_mois=BONNE,VLOOKUP("Sorgho ensilé",AlimentsRationHivernaleBisonsFemelles,7,FALSE),0)+(IF(QualitéAlimentsBisonneauxMâles_6_12_mois=BONNE,VLOOKUP("Sorgho ensilé",AlimentsRationHivernaleBisonsMâles,6,FALSE),0)+(IF(QualitéAlimentsBisonneauxFemelles_6_12_mois=BONNE,VLOOKUP("Sorgho ensilé",AlimentsRationHivernaleBisonsFemelles,6,FALSE),0)+(IF(QualitéAlimentsJeunesBisons_12_18_mois=BONNE,VLOOKUP("Sorgho ensilé",AlimentsRationHivernaleBisonsMâles,5,FALSE),0)+(IF(QualitéAlimentsJeunesBisonnes_12_18_mois=BONNE,VLOOKUP("Sorgho ensilé",AlimentsRationHivernaleBisonsFemelles,5,FALSE),0)+(IF(QualitéAlimentsJeunesBisons_18_24_mois=BONNE,VLOOKUP("Sorgho ensilé",AlimentsRationHivernaleBisonsMâles,4,FALSE),0)+(IF(QualitéAlimentsJeunesBisonnes_18_24_mois=BONNE,VLOOKUP("Sorgho ensilé",AlimentsRationHivernaleBisonsFemelles,4,FALSE),0)+(IF(QualitéAlimentsJeunesBisons_24_36_mois=BONNE,VLOOKUP("Sorgho ensilé",AlimentsRationHivernaleBisonsMâles,3,FALSE),0)+(IF(QualitéAlimentsJeunesBisonnes_24_36_mois=BONNE,VLOOKUP("Sorgho ensilé",AlimentsRationHivernaleBisonsFemelles,3,FALSE),0)+(IF(QualitéAlimentsBisons=BONNE,VLOOKUP("Sorgho ensilé",AlimentsRationHivernaleBisonsMâles,2,FALSE),0)+(IF(QualitéAlimentsBisonnes=BONNE,VLOOKUP("Sorgho ensilé",AlimentsRationHivernaleBisonsFemelles,2,FALSE),0))))))))))))))))</f>
        <v>0</v>
      </c>
      <c r="BO142" s="333">
        <f t="array" ref="BO142">SUM((IF(QualitéAlimentsBisonneauxMâles_0_3_mois=MOYENNE,VLOOKUP("Sorgho ensilé",AlimentsRationHivernaleBisonsMâles,8,FALSE),0)+(IF(QualitéAlimentsBisonneauxFemelles_0_3_mois=MOYENNE,VLOOKUP("Sorgho ensilé",AlimentsRationHivernaleBisonsFemelles,8,FALSE),0)+(IF(QualitéAlimentsBisonneauxMâles_3_6_mois=MOYENNE,VLOOKUP("Sorgho ensilé",AlimentsRationHivernaleBisonsMâles,7,FALSE),0)+(IF(QualitéAlimentsBisonneauxFemelles_3_6_mois=MOYENNE,VLOOKUP("Sorgho ensilé",AlimentsRationHivernaleBisonsFemelles,7,FALSE),0)+(IF(QualitéAlimentsBisonneauxMâles_6_12_mois=MOYENNE,VLOOKUP("Sorgho ensilé",AlimentsRationHivernaleBisonsMâles,6,FALSE),0)+(IF(QualitéAlimentsBisonneauxFemelles_6_12_mois=MOYENNE,VLOOKUP("Sorgho ensilé",AlimentsRationHivernaleBisonsFemelles,6,FALSE),0)+(IF(QualitéAlimentsJeunesBisons_12_18_mois=MOYENNE,VLOOKUP("Sorgho ensilé",AlimentsRationHivernaleBisonsMâles,5,FALSE),0)+(IF(QualitéAlimentsJeunesBisonnes_12_18_mois=MOYENNE,VLOOKUP("Sorgho ensilé",AlimentsRationHivernaleBisonsFemelles,5,FALSE),0)+(IF(QualitéAlimentsJeunesBisons_18_24_mois=MOYENNE,VLOOKUP("Sorgho ensilé",AlimentsRationHivernaleBisonsMâles,4,FALSE),0)+(IF(QualitéAlimentsJeunesBisonnes_18_24_mois=MOYENNE,VLOOKUP("Sorgho ensilé",AlimentsRationHivernaleBisonsFemelles,4,FALSE),0)+(IF(QualitéAlimentsJeunesBisons_24_36_mois=MOYENNE,VLOOKUP("Sorgho ensilé",AlimentsRationHivernaleBisonsMâles,3,FALSE),0)+(IF(QualitéAlimentsJeunesBisonnes_24_36_mois=MOYENNE,VLOOKUP("Sorgho ensilé",AlimentsRationHivernaleBisonsFemelles,3,FALSE),0)+(IF(QualitéAlimentsBisons=MOYENNE,VLOOKUP("Sorgho ensilé",AlimentsRationHivernaleBisonsMâles,2,FALSE),0)+(IF(QualitéAlimentsBisonnes=MOYENNE,VLOOKUP("Sorgho ensilé",AlimentsRationHivernaleBisonsFemelles,2,FALSE),0))))))))))))))))</f>
        <v>0</v>
      </c>
      <c r="BP142" s="333">
        <f t="array" ref="BP142">SUM((IF(QualitéAlimentsBisonneauxMâles_0_3_mois=MAUVAISE,VLOOKUP("Sorgho ensilé",AlimentsRationHivernaleBisonsMâles,8,FALSE),0)+(IF(QualitéAlimentsBisonneauxFemelles_0_3_mois=MAUVAISE,VLOOKUP("Sorgho ensilé",AlimentsRationHivernaleBisonsFemelles,8,FALSE),0)+(IF(QualitéAlimentsBisonneauxMâles_3_6_mois=MAUVAISE,VLOOKUP("Sorgho ensilé",AlimentsRationHivernaleBisonsMâles,7,FALSE),0)+(IF(QualitéAlimentsBisonneauxFemelles_3_6_mois=MAUVAISE,VLOOKUP("Sorgho ensilé",AlimentsRationHivernaleBisonsFemelles,7,FALSE),0)+(IF(QualitéAlimentsBisonneauxMâles_6_12_mois=MAUVAISE,VLOOKUP("Sorgho ensilé",AlimentsRationHivernaleBisonsMâles,6,FALSE),0)+(IF(QualitéAlimentsBisonneauxFemelles_6_12_mois=MAUVAISE,VLOOKUP("Sorgho ensilé",AlimentsRationHivernaleBisonsFemelles,6,FALSE),0)+(IF(QualitéAlimentsJeunesBisons_12_18_mois=MAUVAISE,VLOOKUP("Sorgho ensilé",AlimentsRationHivernaleBisonsMâles,5,FALSE),0)+(IF(QualitéAlimentsJeunesBisonnes_12_18_mois=MAUVAISE,VLOOKUP("Sorgho ensilé",AlimentsRationHivernaleBisonsFemelles,5,FALSE),0)+(IF(QualitéAlimentsJeunesBisons_18_24_mois=MAUVAISE,VLOOKUP("Sorgho ensilé",AlimentsRationHivernaleBisonsMâles,4,FALSE),0)+(IF(QualitéAlimentsJeunesBisonnes_18_24_mois=MAUVAISE,VLOOKUP("Sorgho ensilé",AlimentsRationHivernaleBisonsFemelles,4,FALSE),0)+(IF(QualitéAlimentsJeunesBisons_24_36_mois=MAUVAISE,VLOOKUP("Sorgho ensilé",AlimentsRationHivernaleBisonsMâles,3,FALSE),0)+(IF(QualitéAlimentsJeunesBisonnes_24_36_mois=MAUVAISE,VLOOKUP("Sorgho ensilé",AlimentsRationHivernaleBisonsFemelles,3,FALSE),0)+(IF(QualitéAlimentsBisons=MAUVAISE,VLOOKUP("Sorgho ensilé",AlimentsRationHivernaleBisonsMâles,2,FALSE),0)+(IF(QualitéAlimentsBisonnes=MAUVAISE,VLOOKUP("Sorgho ensilé",AlimentsRationHivernaleBisonsFemelles,2,FALSE),0))))))))))))))))</f>
        <v>0</v>
      </c>
      <c r="BQ142" s="282"/>
      <c r="BR142" s="282"/>
      <c r="BS142" s="282"/>
      <c r="BT142" s="282"/>
      <c r="BU142" s="282"/>
      <c r="BX142" s="324" t="s">
        <v>877</v>
      </c>
      <c r="BY142" s="229" t="str">
        <f>IF(animaux!D89="","",animaux!D89)</f>
        <v/>
      </c>
      <c r="BZ142" s="229" t="str">
        <f>IF(animaux!D87="","",animaux!D87)</f>
        <v/>
      </c>
      <c r="CA142" s="229" t="str">
        <f>IF(animaux!D85="","",animaux!D85)</f>
        <v/>
      </c>
      <c r="CB142" s="323" t="str">
        <f>IF(animaux!D83="","",animaux!D83)</f>
        <v/>
      </c>
      <c r="CC142" s="323"/>
    </row>
    <row r="143" spans="1:86" ht="12.75" customHeight="1" x14ac:dyDescent="0.2">
      <c r="A143" s="355" t="s">
        <v>111</v>
      </c>
      <c r="B143" s="364">
        <v>10</v>
      </c>
      <c r="BB143" s="369" t="s">
        <v>443</v>
      </c>
      <c r="BC143" s="344" t="s">
        <v>730</v>
      </c>
      <c r="BD143" s="344" t="s">
        <v>711</v>
      </c>
      <c r="BE143" s="370">
        <v>1</v>
      </c>
      <c r="BF143" s="370">
        <v>0.8</v>
      </c>
      <c r="BG143" s="370">
        <v>0.6</v>
      </c>
      <c r="BH143" s="370">
        <v>0.4</v>
      </c>
      <c r="BI143" s="370">
        <v>0.4</v>
      </c>
      <c r="BJ143" s="370">
        <v>0.4</v>
      </c>
      <c r="BK143" s="371">
        <v>0</v>
      </c>
      <c r="BL143" s="305"/>
      <c r="BM143" s="332" t="str">
        <f t="shared" si="10"/>
        <v>Tournesol</v>
      </c>
      <c r="BN143" s="333">
        <f t="array" ref="BN143">SUM((IF(QualitéAlimentsBisonneauxMâles_0_3_mois=BONNE,VLOOKUP("Tournesol",AlimentsRationHivernaleBisonsMâles,8,FALSE),0)+(IF(QualitéAlimentsBisonneauxFemelles_0_3_mois=BONNE,VLOOKUP("Tournesol",AlimentsRationHivernaleBisonsFemelles,8,FALSE),0)+(IF(QualitéAlimentsBisonneauxMâles_3_6_mois=BONNE,VLOOKUP("Tournesol",AlimentsRationHivernaleBisonsMâles,7,FALSE),0)+(IF(QualitéAlimentsBisonneauxFemelles_3_6_mois=BONNE,VLOOKUP("Tournesol",AlimentsRationHivernaleBisonsFemelles,7,FALSE),0)+(IF(QualitéAlimentsBisonneauxMâles_6_12_mois=BONNE,VLOOKUP("Tournesol",AlimentsRationHivernaleBisonsMâles,6,FALSE),0)+(IF(QualitéAlimentsBisonneauxFemelles_6_12_mois=BONNE,VLOOKUP("Tournesol",AlimentsRationHivernaleBisonsFemelles,6,FALSE),0)+(IF(QualitéAlimentsJeunesBisons_12_18_mois=BONNE,VLOOKUP("Tournesol",AlimentsRationHivernaleBisonsMâles,5,FALSE),0)+(IF(QualitéAlimentsJeunesBisonnes_12_18_mois=BONNE,VLOOKUP("Tournesol",AlimentsRationHivernaleBisonsFemelles,5,FALSE),0)+(IF(QualitéAlimentsJeunesBisons_18_24_mois=BONNE,VLOOKUP("Tournesol",AlimentsRationHivernaleBisonsMâles,4,FALSE),0)+(IF(QualitéAlimentsJeunesBisonnes_18_24_mois=BONNE,VLOOKUP("Tournesol",AlimentsRationHivernaleBisonsFemelles,4,FALSE),0)+(IF(QualitéAlimentsJeunesBisons_24_36_mois=BONNE,VLOOKUP("Tournesol",AlimentsRationHivernaleBisonsMâles,3,FALSE),0)+(IF(QualitéAlimentsJeunesBisonnes_24_36_mois=BONNE,VLOOKUP("Tournesol",AlimentsRationHivernaleBisonsFemelles,3,FALSE),0)+(IF(QualitéAlimentsBisons=BONNE,VLOOKUP("Tournesol",AlimentsRationHivernaleBisonsMâles,2,FALSE),0)+(IF(QualitéAlimentsBisonnes=BONNE,VLOOKUP("Tournesol",AlimentsRationHivernaleBisonsFemelles,2,FALSE),0))))))))))))))))</f>
        <v>0</v>
      </c>
      <c r="BO143" s="333">
        <f t="array" ref="BO143">SUM((IF(QualitéAlimentsBisonneauxMâles_0_3_mois=MOYENNE,VLOOKUP("Tournesol",AlimentsRationHivernaleBisonsMâles,8,FALSE),0)+(IF(QualitéAlimentsBisonneauxFemelles_0_3_mois=MOYENNE,VLOOKUP("Tournesol",AlimentsRationHivernaleBisonsFemelles,8,FALSE),0)+(IF(QualitéAlimentsBisonneauxMâles_3_6_mois=MOYENNE,VLOOKUP("Tournesol",AlimentsRationHivernaleBisonsMâles,7,FALSE),0)+(IF(QualitéAlimentsBisonneauxFemelles_3_6_mois=MOYENNE,VLOOKUP("Tournesol",AlimentsRationHivernaleBisonsFemelles,7,FALSE),0)+(IF(QualitéAlimentsBisonneauxMâles_6_12_mois=MOYENNE,VLOOKUP("Tournesol",AlimentsRationHivernaleBisonsMâles,6,FALSE),0)+(IF(QualitéAlimentsBisonneauxFemelles_6_12_mois=MOYENNE,VLOOKUP("Tournesol",AlimentsRationHivernaleBisonsFemelles,6,FALSE),0)+(IF(QualitéAlimentsJeunesBisons_12_18_mois=MOYENNE,VLOOKUP("Tournesol",AlimentsRationHivernaleBisonsMâles,5,FALSE),0)+(IF(QualitéAlimentsJeunesBisonnes_12_18_mois=MOYENNE,VLOOKUP("Tournesol",AlimentsRationHivernaleBisonsFemelles,5,FALSE),0)+(IF(QualitéAlimentsJeunesBisons_18_24_mois=MOYENNE,VLOOKUP("Tournesol",AlimentsRationHivernaleBisonsMâles,4,FALSE),0)+(IF(QualitéAlimentsJeunesBisonnes_18_24_mois=MOYENNE,VLOOKUP("Tournesol",AlimentsRationHivernaleBisonsFemelles,4,FALSE),0)+(IF(QualitéAlimentsJeunesBisons_24_36_mois=MOYENNE,VLOOKUP("Tournesol",AlimentsRationHivernaleBisonsMâles,3,FALSE),0)+(IF(QualitéAlimentsJeunesBisonnes_24_36_mois=MOYENNE,VLOOKUP("Tournesol",AlimentsRationHivernaleBisonsFemelles,3,FALSE),0)+(IF(QualitéAlimentsBisons=MOYENNE,VLOOKUP("Tournesol",AlimentsRationHivernaleBisonsMâles,2,FALSE),0)+(IF(QualitéAlimentsBisonnes=MOYENNE,VLOOKUP("Tournesol",AlimentsRationHivernaleBisonsFemelles,2,FALSE),0))))))))))))))))</f>
        <v>0</v>
      </c>
      <c r="BP143" s="333">
        <f t="array" ref="BP143">SUM((IF(QualitéAlimentsBisonneauxMâles_0_3_mois=MAUVAISE,VLOOKUP("Tournesol",AlimentsRationHivernaleBisonsMâles,8,FALSE),0)+(IF(QualitéAlimentsBisonneauxFemelles_0_3_mois=MAUVAISE,VLOOKUP("Tournesol",AlimentsRationHivernaleBisonsFemelles,8,FALSE),0)+(IF(QualitéAlimentsBisonneauxMâles_3_6_mois=MAUVAISE,VLOOKUP("Tournesol",AlimentsRationHivernaleBisonsMâles,7,FALSE),0)+(IF(QualitéAlimentsBisonneauxFemelles_3_6_mois=MAUVAISE,VLOOKUP("Tournesol",AlimentsRationHivernaleBisonsFemelles,7,FALSE),0)+(IF(QualitéAlimentsBisonneauxMâles_6_12_mois=MAUVAISE,VLOOKUP("Tournesol",AlimentsRationHivernaleBisonsMâles,6,FALSE),0)+(IF(QualitéAlimentsBisonneauxFemelles_6_12_mois=MAUVAISE,VLOOKUP("Tournesol",AlimentsRationHivernaleBisonsFemelles,6,FALSE),0)+(IF(QualitéAlimentsJeunesBisons_12_18_mois=MAUVAISE,VLOOKUP("Tournesol",AlimentsRationHivernaleBisonsMâles,5,FALSE),0)+(IF(QualitéAlimentsJeunesBisonnes_12_18_mois=MAUVAISE,VLOOKUP("Tournesol",AlimentsRationHivernaleBisonsFemelles,5,FALSE),0)+(IF(QualitéAlimentsJeunesBisons_18_24_mois=MAUVAISE,VLOOKUP("Tournesol",AlimentsRationHivernaleBisonsMâles,4,FALSE),0)+(IF(QualitéAlimentsJeunesBisonnes_18_24_mois=MAUVAISE,VLOOKUP("Tournesol",AlimentsRationHivernaleBisonsFemelles,4,FALSE),0)+(IF(QualitéAlimentsJeunesBisons_24_36_mois=MAUVAISE,VLOOKUP("Tournesol",AlimentsRationHivernaleBisonsMâles,3,FALSE),0)+(IF(QualitéAlimentsJeunesBisonnes_24_36_mois=MAUVAISE,VLOOKUP("Tournesol",AlimentsRationHivernaleBisonsFemelles,3,FALSE),0)+(IF(QualitéAlimentsBisons=MAUVAISE,VLOOKUP("Tournesol",AlimentsRationHivernaleBisonsMâles,2,FALSE),0)+(IF(QualitéAlimentsBisonnes=MAUVAISE,VLOOKUP("Tournesol",AlimentsRationHivernaleBisonsFemelles,2,FALSE),0))))))))))))))))</f>
        <v>0</v>
      </c>
      <c r="BQ143" s="282"/>
      <c r="BR143" s="282"/>
      <c r="BS143" s="282"/>
      <c r="BT143" s="282"/>
      <c r="BU143" s="282"/>
      <c r="BX143" s="336" t="s">
        <v>734</v>
      </c>
      <c r="BY143" s="331" t="s">
        <v>738</v>
      </c>
      <c r="BZ143" s="331" t="s">
        <v>716</v>
      </c>
      <c r="CA143" s="331" t="s">
        <v>715</v>
      </c>
      <c r="CB143" s="331" t="s">
        <v>714</v>
      </c>
      <c r="CC143" s="331" t="s">
        <v>728</v>
      </c>
    </row>
    <row r="144" spans="1:86" ht="12.75" customHeight="1" x14ac:dyDescent="0.2">
      <c r="A144" s="355" t="s">
        <v>112</v>
      </c>
      <c r="B144" s="364">
        <v>5</v>
      </c>
      <c r="BB144" s="369" t="s">
        <v>443</v>
      </c>
      <c r="BC144" s="344" t="s">
        <v>882</v>
      </c>
      <c r="BD144" s="344" t="s">
        <v>711</v>
      </c>
      <c r="BE144" s="370">
        <v>0</v>
      </c>
      <c r="BF144" s="370">
        <v>0</v>
      </c>
      <c r="BG144" s="370">
        <v>0</v>
      </c>
      <c r="BH144" s="370">
        <v>0</v>
      </c>
      <c r="BI144" s="370">
        <v>0</v>
      </c>
      <c r="BJ144" s="370">
        <v>0</v>
      </c>
      <c r="BK144" s="371">
        <v>8</v>
      </c>
      <c r="BL144" s="305"/>
      <c r="BM144" s="332" t="str">
        <f t="shared" si="10"/>
        <v>Tourteau de colza</v>
      </c>
      <c r="BN144" s="333">
        <f t="array" ref="BN144">SUM((IF(QualitéAlimentsBisonneauxMâles_0_3_mois=BONNE,VLOOKUP("Tourteau de colza",AlimentsRationHivernaleBisonsMâles,8,FALSE),0)+(IF(QualitéAlimentsBisonneauxFemelles_0_3_mois=BONNE,VLOOKUP("Tourteau de colza",AlimentsRationHivernaleBisonsFemelles,8,FALSE),0)+(IF(QualitéAlimentsBisonneauxMâles_3_6_mois=BONNE,VLOOKUP("Tourteau de colza",AlimentsRationHivernaleBisonsMâles,7,FALSE),0)+(IF(QualitéAlimentsBisonneauxFemelles_3_6_mois=BONNE,VLOOKUP("Tourteau de colza",AlimentsRationHivernaleBisonsFemelles,7,FALSE),0)+(IF(QualitéAlimentsBisonneauxMâles_6_12_mois=BONNE,VLOOKUP("Tourteau de colza",AlimentsRationHivernaleBisonsMâles,6,FALSE),0)+(IF(QualitéAlimentsBisonneauxFemelles_6_12_mois=BONNE,VLOOKUP("Tourteau de colza",AlimentsRationHivernaleBisonsFemelles,6,FALSE),0)+(IF(QualitéAlimentsJeunesBisons_12_18_mois=BONNE,VLOOKUP("Tourteau de colza",AlimentsRationHivernaleBisonsMâles,5,FALSE),0)+(IF(QualitéAlimentsJeunesBisonnes_12_18_mois=BONNE,VLOOKUP("Tourteau de colza",AlimentsRationHivernaleBisonsFemelles,5,FALSE),0)+(IF(QualitéAlimentsJeunesBisons_18_24_mois=BONNE,VLOOKUP("Tourteau de colza",AlimentsRationHivernaleBisonsMâles,4,FALSE),0)+(IF(QualitéAlimentsJeunesBisonnes_18_24_mois=BONNE,VLOOKUP("Tourteau de colza",AlimentsRationHivernaleBisonsFemelles,4,FALSE),0)+(IF(QualitéAlimentsJeunesBisons_24_36_mois=BONNE,VLOOKUP("Tourteau de colza",AlimentsRationHivernaleBisonsMâles,3,FALSE),0)+(IF(QualitéAlimentsJeunesBisonnes_24_36_mois=BONNE,VLOOKUP("Tourteau de colza",AlimentsRationHivernaleBisonsFemelles,3,FALSE),0)+(IF(QualitéAlimentsBisons=BONNE,VLOOKUP("Tourteau de colza",AlimentsRationHivernaleBisonsMâles,2,FALSE),0)+(IF(QualitéAlimentsBisonnes=BONNE,VLOOKUP("Tourteau de colza",AlimentsRationHivernaleBisonsFemelles,2,FALSE),0))))))))))))))))</f>
        <v>0</v>
      </c>
      <c r="BO144" s="333">
        <f t="array" ref="BO144">SUM((IF(QualitéAlimentsBisonneauxMâles_0_3_mois=MOYENNE,VLOOKUP("Tourteau de colza",AlimentsRationHivernaleBisonsMâles,8,FALSE),0)+(IF(QualitéAlimentsBisonneauxFemelles_0_3_mois=MOYENNE,VLOOKUP("Tourteau de colza",AlimentsRationHivernaleBisonsFemelles,8,FALSE),0)+(IF(QualitéAlimentsBisonneauxMâles_3_6_mois=MOYENNE,VLOOKUP("Tourteau de colza",AlimentsRationHivernaleBisonsMâles,7,FALSE),0)+(IF(QualitéAlimentsBisonneauxFemelles_3_6_mois=MOYENNE,VLOOKUP("Tourteau de colza",AlimentsRationHivernaleBisonsFemelles,7,FALSE),0)+(IF(QualitéAlimentsBisonneauxMâles_6_12_mois=MOYENNE,VLOOKUP("Tourteau de colza",AlimentsRationHivernaleBisonsMâles,6,FALSE),0)+(IF(QualitéAlimentsBisonneauxFemelles_6_12_mois=MOYENNE,VLOOKUP("Tourteau de colza",AlimentsRationHivernaleBisonsFemelles,6,FALSE),0)+(IF(QualitéAlimentsJeunesBisons_12_18_mois=MOYENNE,VLOOKUP("Tourteau de colza",AlimentsRationHivernaleBisonsMâles,5,FALSE),0)+(IF(QualitéAlimentsJeunesBisonnes_12_18_mois=MOYENNE,VLOOKUP("Tourteau de colza",AlimentsRationHivernaleBisonsFemelles,5,FALSE),0)+(IF(QualitéAlimentsJeunesBisons_18_24_mois=MOYENNE,VLOOKUP("Tourteau de colza",AlimentsRationHivernaleBisonsMâles,4,FALSE),0)+(IF(QualitéAlimentsJeunesBisonnes_18_24_mois=MOYENNE,VLOOKUP("Tourteau de colza",AlimentsRationHivernaleBisonsFemelles,4,FALSE),0)+(IF(QualitéAlimentsJeunesBisons_24_36_mois=MOYENNE,VLOOKUP("Tourteau de colza",AlimentsRationHivernaleBisonsMâles,3,FALSE),0)+(IF(QualitéAlimentsJeunesBisonnes_24_36_mois=MOYENNE,VLOOKUP("Tourteau de colza",AlimentsRationHivernaleBisonsFemelles,3,FALSE),0)+(IF(QualitéAlimentsBisons=MOYENNE,VLOOKUP("Tourteau de colza",AlimentsRationHivernaleBisonsMâles,2,FALSE),0)+(IF(QualitéAlimentsBisonnes=MOYENNE,VLOOKUP("Tourteau de colza",AlimentsRationHivernaleBisonsFemelles,2,FALSE),0))))))))))))))))</f>
        <v>0</v>
      </c>
      <c r="BP144" s="333">
        <f t="array" ref="BP144">SUM((IF(QualitéAlimentsBisonneauxMâles_0_3_mois=MAUVAISE,VLOOKUP("Tourteau de colza",AlimentsRationHivernaleBisonsMâles,8,FALSE),0)+(IF(QualitéAlimentsBisonneauxFemelles_0_3_mois=MAUVAISE,VLOOKUP("Tourteau de colza",AlimentsRationHivernaleBisonsFemelles,8,FALSE),0)+(IF(QualitéAlimentsBisonneauxMâles_3_6_mois=MAUVAISE,VLOOKUP("Tourteau de colza",AlimentsRationHivernaleBisonsMâles,7,FALSE),0)+(IF(QualitéAlimentsBisonneauxFemelles_3_6_mois=MAUVAISE,VLOOKUP("Tourteau de colza",AlimentsRationHivernaleBisonsFemelles,7,FALSE),0)+(IF(QualitéAlimentsBisonneauxMâles_6_12_mois=MAUVAISE,VLOOKUP("Tourteau de colza",AlimentsRationHivernaleBisonsMâles,6,FALSE),0)+(IF(QualitéAlimentsBisonneauxFemelles_6_12_mois=MAUVAISE,VLOOKUP("Tourteau de colza",AlimentsRationHivernaleBisonsFemelles,6,FALSE),0)+(IF(QualitéAlimentsJeunesBisons_12_18_mois=MAUVAISE,VLOOKUP("Tourteau de colza",AlimentsRationHivernaleBisonsMâles,5,FALSE),0)+(IF(QualitéAlimentsJeunesBisonnes_12_18_mois=MAUVAISE,VLOOKUP("Tourteau de colza",AlimentsRationHivernaleBisonsFemelles,5,FALSE),0)+(IF(QualitéAlimentsJeunesBisons_18_24_mois=MAUVAISE,VLOOKUP("Tourteau de colza",AlimentsRationHivernaleBisonsMâles,4,FALSE),0)+(IF(QualitéAlimentsJeunesBisonnes_18_24_mois=MAUVAISE,VLOOKUP("Tourteau de colza",AlimentsRationHivernaleBisonsFemelles,4,FALSE),0)+(IF(QualitéAlimentsJeunesBisons_24_36_mois=MAUVAISE,VLOOKUP("Tourteau de colza",AlimentsRationHivernaleBisonsMâles,3,FALSE),0)+(IF(QualitéAlimentsJeunesBisonnes_24_36_mois=MAUVAISE,VLOOKUP("Tourteau de colza",AlimentsRationHivernaleBisonsFemelles,3,FALSE),0)+(IF(QualitéAlimentsBisons=MAUVAISE,VLOOKUP("Tourteau de colza",AlimentsRationHivernaleBisonsMâles,2,FALSE),0)+(IF(QualitéAlimentsBisonnes=MAUVAISE,VLOOKUP("Tourteau de colza",AlimentsRationHivernaleBisonsFemelles,2,FALSE),0))))))))))))))))</f>
        <v>0</v>
      </c>
      <c r="BQ144" s="282"/>
      <c r="BR144" s="282"/>
      <c r="BS144" s="282"/>
      <c r="BT144" s="282"/>
      <c r="BU144" s="282"/>
      <c r="BX144" s="332" t="str">
        <f>BX106</f>
        <v>Avoine</v>
      </c>
      <c r="BY144" s="332">
        <f t="array" ref="BY144">IF(ChoixRationComplèteCaprins=OUI,0,IFERROR(IF(OR(AND(INDEX(Règles_caprins[Specificite],MATCH(ChoixRationCaprins&amp;$BX144,Règles_caprins[Ration]&amp;Règles_caprins[Aliment],0))="s1",IF($BX144=Spécificité1Caprins,1)),
INDEX(Règles_caprins[Specificite],MATCH(ChoixRationCaprins&amp;$BX144,Règles_caprins[Ration]&amp;Règles_caprins[Aliment],0))="c"),
INDEX(Règles_caprins[Valeur 12 et plus],MATCH(ChoixRationCaprins&amp;$BX144,Règles_caprins[Ration]&amp;Règles_caprins[Aliment],0)),0),0)*TotalChèvres*NbreJoursNourrirCaprins)</f>
        <v>0</v>
      </c>
      <c r="BZ144" s="332">
        <f t="array" ref="BZ144">IF(ChoixRationComplèteCaprins=OUI,0,IFERROR(IF(OR(AND(INDEX(Règles_caprins[Specificite],MATCH(ChoixRationCaprins&amp;$BX144,Règles_caprins[Ration]&amp;Règles_caprins[Aliment],0))="s1",IF($BX144=Spécificité1Caprins,1)),
INDEX(Règles_caprins[Specificite],MATCH(ChoixRationCaprins&amp;$BX144,Règles_caprins[Ration]&amp;Règles_caprins[Aliment],0))="c"),
INDEX(Règles_caprins[Valeur 6-12],MATCH(ChoixRationCaprins&amp;$BX144,Règles_caprins[Ration]&amp;Règles_caprins[Aliment],0)),0),0)*jeune_chèvre_6_12_mois*NbreJoursNourrirCaprins)</f>
        <v>0</v>
      </c>
      <c r="CA144" s="332">
        <f t="array" ref="CA144">IF(ChoixRationComplèteCaprins=OUI,0,IFERROR(IF(OR(AND(INDEX(Règles_caprins[Specificite],MATCH(ChoixRationCaprins&amp;$BX144,Règles_caprins[Ration]&amp;Règles_caprins[Aliment],0))="s1",IF($BX144=Spécificité1Caprins,1)),
INDEX(Règles_caprins[Specificite],MATCH(ChoixRationCaprins&amp;$BX144,Règles_caprins[Ration]&amp;Règles_caprins[Aliment],0))="c"),
INDEX(Règles_caprins[Valeur 3-6],MATCH(ChoixRationCaprins&amp;$BX144,Règles_caprins[Ration]&amp;Règles_caprins[Aliment],0)),0),0)*chevrette_3_6_mois*NbreJoursNourrirCaprins)</f>
        <v>0</v>
      </c>
      <c r="CB144" s="332">
        <f t="array" ref="CB144">IF(ChoixRationComplèteCaprins=OUI,0,IFERROR(IF(OR(AND(INDEX(Règles_caprins[Specificite],MATCH(ChoixRationCaprins&amp;$BX144,Règles_caprins[Ration]&amp;Règles_caprins[Aliment],0))="s1",IF($BX144=Spécificité1Caprins,1)),
INDEX(Règles_caprins[Specificite],MATCH(ChoixRationCaprins&amp;$BX144,Règles_caprins[Ration]&amp;Règles_caprins[Aliment],0))="c"),
INDEX(Règles_caprins[Valeur 0-3],MATCH(ChoixRationCaprins&amp;$BX144,Règles_caprins[Ration]&amp;Règles_caprins[Aliment],0)),0),0)*chevrette_0_3_mois*NbreJoursNourrirCaprins)</f>
        <v>0</v>
      </c>
      <c r="CC144" s="332">
        <f t="shared" ref="CC144:CC178" si="11">SUM($BY144:$CB144)</f>
        <v>0</v>
      </c>
    </row>
    <row r="145" spans="1:86" ht="12.75" customHeight="1" x14ac:dyDescent="0.2">
      <c r="A145" s="355" t="s">
        <v>113</v>
      </c>
      <c r="B145" s="364">
        <v>4</v>
      </c>
      <c r="BB145" s="369" t="s">
        <v>443</v>
      </c>
      <c r="BC145" s="344" t="s">
        <v>444</v>
      </c>
      <c r="BD145" s="344" t="s">
        <v>711</v>
      </c>
      <c r="BE145" s="370">
        <v>200</v>
      </c>
      <c r="BF145" s="370">
        <v>100</v>
      </c>
      <c r="BG145" s="370">
        <v>80</v>
      </c>
      <c r="BH145" s="370">
        <v>60</v>
      </c>
      <c r="BI145" s="370">
        <v>40</v>
      </c>
      <c r="BJ145" s="370">
        <v>28</v>
      </c>
      <c r="BK145" s="371">
        <v>12</v>
      </c>
      <c r="BL145" s="305"/>
      <c r="BM145" s="332" t="str">
        <f t="shared" si="10"/>
        <v>Tourteau de tournesol</v>
      </c>
      <c r="BN145" s="333">
        <f t="array" ref="BN145">SUM((IF(QualitéAlimentsBisonneauxMâles_0_3_mois=BONNE,VLOOKUP("Tourteau de tournesol",AlimentsRationHivernaleBisonsMâles,8,FALSE),0)+(IF(QualitéAlimentsBisonneauxFemelles_0_3_mois=BONNE,VLOOKUP("Tourteau de tournesol",AlimentsRationHivernaleBisonsFemelles,8,FALSE),0)+(IF(QualitéAlimentsBisonneauxMâles_3_6_mois=BONNE,VLOOKUP("Tourteau de tournesol",AlimentsRationHivernaleBisonsMâles,7,FALSE),0)+(IF(QualitéAlimentsBisonneauxFemelles_3_6_mois=BONNE,VLOOKUP("Tourteau de tournesol",AlimentsRationHivernaleBisonsFemelles,7,FALSE),0)+(IF(QualitéAlimentsBisonneauxMâles_6_12_mois=BONNE,VLOOKUP("Tourteau de tournesol",AlimentsRationHivernaleBisonsMâles,6,FALSE),0)+(IF(QualitéAlimentsBisonneauxFemelles_6_12_mois=BONNE,VLOOKUP("Tourteau de tournesol",AlimentsRationHivernaleBisonsFemelles,6,FALSE),0)+(IF(QualitéAlimentsJeunesBisons_12_18_mois=BONNE,VLOOKUP("Tourteau de tournesol",AlimentsRationHivernaleBisonsMâles,5,FALSE),0)+(IF(QualitéAlimentsJeunesBisonnes_12_18_mois=BONNE,VLOOKUP("Tourteau de tournesol",AlimentsRationHivernaleBisonsFemelles,5,FALSE),0)+(IF(QualitéAlimentsJeunesBisons_18_24_mois=BONNE,VLOOKUP("Tourteau de tournesol",AlimentsRationHivernaleBisonsMâles,4,FALSE),0)+(IF(QualitéAlimentsJeunesBisonnes_18_24_mois=BONNE,VLOOKUP("Tourteau de tournesol",AlimentsRationHivernaleBisonsFemelles,4,FALSE),0)+(IF(QualitéAlimentsJeunesBisons_24_36_mois=BONNE,VLOOKUP("Tourteau de tournesol",AlimentsRationHivernaleBisonsMâles,3,FALSE),0)+(IF(QualitéAlimentsJeunesBisonnes_24_36_mois=BONNE,VLOOKUP("Tourteau de tournesol",AlimentsRationHivernaleBisonsFemelles,3,FALSE),0)+(IF(QualitéAlimentsBisons=BONNE,VLOOKUP("Tourteau de tournesol",AlimentsRationHivernaleBisonsMâles,2,FALSE),0)+(IF(QualitéAlimentsBisonnes=BONNE,VLOOKUP("Tourteau de tournesol",AlimentsRationHivernaleBisonsFemelles,2,FALSE),0))))))))))))))))</f>
        <v>0</v>
      </c>
      <c r="BO145" s="333">
        <f t="array" ref="BO145">SUM((IF(QualitéAlimentsBisonneauxMâles_0_3_mois=MOYENNE,VLOOKUP("Tourteau de tournesol",AlimentsRationHivernaleBisonsMâles,8,FALSE),0)+(IF(QualitéAlimentsBisonneauxFemelles_0_3_mois=MOYENNE,VLOOKUP("Tourteau de tournesol",AlimentsRationHivernaleBisonsFemelles,8,FALSE),0)+(IF(QualitéAlimentsBisonneauxMâles_3_6_mois=MOYENNE,VLOOKUP("Tourteau de tournesol",AlimentsRationHivernaleBisonsMâles,7,FALSE),0)+(IF(QualitéAlimentsBisonneauxFemelles_3_6_mois=MOYENNE,VLOOKUP("Tourteau de tournesol",AlimentsRationHivernaleBisonsFemelles,7,FALSE),0)+(IF(QualitéAlimentsBisonneauxMâles_6_12_mois=MOYENNE,VLOOKUP("Tourteau de tournesol",AlimentsRationHivernaleBisonsMâles,6,FALSE),0)+(IF(QualitéAlimentsBisonneauxFemelles_6_12_mois=MOYENNE,VLOOKUP("Tourteau de tournesol",AlimentsRationHivernaleBisonsFemelles,6,FALSE),0)+(IF(QualitéAlimentsJeunesBisons_12_18_mois=MOYENNE,VLOOKUP("Tourteau de tournesol",AlimentsRationHivernaleBisonsMâles,5,FALSE),0)+(IF(QualitéAlimentsJeunesBisonnes_12_18_mois=MOYENNE,VLOOKUP("Tourteau de tournesol",AlimentsRationHivernaleBisonsFemelles,5,FALSE),0)+(IF(QualitéAlimentsJeunesBisons_18_24_mois=MOYENNE,VLOOKUP("Tourteau de tournesol",AlimentsRationHivernaleBisonsMâles,4,FALSE),0)+(IF(QualitéAlimentsJeunesBisonnes_18_24_mois=MOYENNE,VLOOKUP("Tourteau de tournesol",AlimentsRationHivernaleBisonsFemelles,4,FALSE),0)+(IF(QualitéAlimentsJeunesBisons_24_36_mois=MOYENNE,VLOOKUP("Tourteau de tournesol",AlimentsRationHivernaleBisonsMâles,3,FALSE),0)+(IF(QualitéAlimentsJeunesBisonnes_24_36_mois=MOYENNE,VLOOKUP("Tourteau de tournesol",AlimentsRationHivernaleBisonsFemelles,3,FALSE),0)+(IF(QualitéAlimentsBisons=MOYENNE,VLOOKUP("Tourteau de tournesol",AlimentsRationHivernaleBisonsMâles,2,FALSE),0)+(IF(QualitéAlimentsBisonnes=MOYENNE,VLOOKUP("Tourteau de tournesol",AlimentsRationHivernaleBisonsFemelles,2,FALSE),0))))))))))))))))</f>
        <v>0</v>
      </c>
      <c r="BP145" s="333">
        <f t="array" ref="BP145">SUM((IF(QualitéAlimentsBisonneauxMâles_0_3_mois=MAUVAISE,VLOOKUP("Tourteau de tournesol",AlimentsRationHivernaleBisonsMâles,8,FALSE),0)+(IF(QualitéAlimentsBisonneauxFemelles_0_3_mois=MAUVAISE,VLOOKUP("Tourteau de tournesol",AlimentsRationHivernaleBisonsFemelles,8,FALSE),0)+(IF(QualitéAlimentsBisonneauxMâles_3_6_mois=MAUVAISE,VLOOKUP("Tourteau de tournesol",AlimentsRationHivernaleBisonsMâles,7,FALSE),0)+(IF(QualitéAlimentsBisonneauxFemelles_3_6_mois=MAUVAISE,VLOOKUP("Tourteau de tournesol",AlimentsRationHivernaleBisonsFemelles,7,FALSE),0)+(IF(QualitéAlimentsBisonneauxMâles_6_12_mois=MAUVAISE,VLOOKUP("Tourteau de tournesol",AlimentsRationHivernaleBisonsMâles,6,FALSE),0)+(IF(QualitéAlimentsBisonneauxFemelles_6_12_mois=MAUVAISE,VLOOKUP("Tourteau de tournesol",AlimentsRationHivernaleBisonsFemelles,6,FALSE),0)+(IF(QualitéAlimentsJeunesBisons_12_18_mois=MAUVAISE,VLOOKUP("Tourteau de tournesol",AlimentsRationHivernaleBisonsMâles,5,FALSE),0)+(IF(QualitéAlimentsJeunesBisonnes_12_18_mois=MAUVAISE,VLOOKUP("Tourteau de tournesol",AlimentsRationHivernaleBisonsFemelles,5,FALSE),0)+(IF(QualitéAlimentsJeunesBisons_18_24_mois=MAUVAISE,VLOOKUP("Tourteau de tournesol",AlimentsRationHivernaleBisonsMâles,4,FALSE),0)+(IF(QualitéAlimentsJeunesBisonnes_18_24_mois=MAUVAISE,VLOOKUP("Tourteau de tournesol",AlimentsRationHivernaleBisonsFemelles,4,FALSE),0)+(IF(QualitéAlimentsJeunesBisons_24_36_mois=MAUVAISE,VLOOKUP("Tourteau de tournesol",AlimentsRationHivernaleBisonsMâles,3,FALSE),0)+(IF(QualitéAlimentsJeunesBisonnes_24_36_mois=MAUVAISE,VLOOKUP("Tourteau de tournesol",AlimentsRationHivernaleBisonsFemelles,3,FALSE),0)+(IF(QualitéAlimentsBisons=MAUVAISE,VLOOKUP("Tourteau de tournesol",AlimentsRationHivernaleBisonsMâles,2,FALSE),0)+(IF(QualitéAlimentsBisonnes=MAUVAISE,VLOOKUP("Tourteau de tournesol",AlimentsRationHivernaleBisonsFemelles,2,FALSE),0))))))))))))))))</f>
        <v>0</v>
      </c>
      <c r="BX145" s="332" t="str">
        <f t="shared" ref="BX145:BX178" si="12">BX107</f>
        <v>Betterave</v>
      </c>
      <c r="BY145" s="332">
        <f t="array" ref="BY145">IF(ChoixRationComplèteCaprins=OUI,0,IFERROR(IF(OR(AND(INDEX(Règles_caprins[Specificite],MATCH(ChoixRationCaprins&amp;$BX145,Règles_caprins[Ration]&amp;Règles_caprins[Aliment],0))="s1",IF($BX145=Spécificité1Caprins,1)),
INDEX(Règles_caprins[Specificite],MATCH(ChoixRationCaprins&amp;$BX145,Règles_caprins[Ration]&amp;Règles_caprins[Aliment],0))="c"),
INDEX(Règles_caprins[Valeur 12 et plus],MATCH(ChoixRationCaprins&amp;$BX145,Règles_caprins[Ration]&amp;Règles_caprins[Aliment],0)),0),0)*TotalChèvres*NbreJoursNourrirCaprins)</f>
        <v>0</v>
      </c>
      <c r="BZ145" s="332">
        <f t="array" ref="BZ145">IF(ChoixRationComplèteCaprins=OUI,0,IFERROR(IF(OR(AND(INDEX(Règles_caprins[Specificite],MATCH(ChoixRationCaprins&amp;$BX145,Règles_caprins[Ration]&amp;Règles_caprins[Aliment],0))="s1",IF($BX145=Spécificité1Caprins,1)),
INDEX(Règles_caprins[Specificite],MATCH(ChoixRationCaprins&amp;$BX145,Règles_caprins[Ration]&amp;Règles_caprins[Aliment],0))="c"),
INDEX(Règles_caprins[Valeur 6-12],MATCH(ChoixRationCaprins&amp;$BX145,Règles_caprins[Ration]&amp;Règles_caprins[Aliment],0)),0),0)*jeune_chèvre_6_12_mois*NbreJoursNourrirCaprins)</f>
        <v>0</v>
      </c>
      <c r="CA145" s="332">
        <f t="array" ref="CA145">IF(ChoixRationComplèteCaprins=OUI,0,IFERROR(IF(OR(AND(INDEX(Règles_caprins[Specificite],MATCH(ChoixRationCaprins&amp;$BX145,Règles_caprins[Ration]&amp;Règles_caprins[Aliment],0))="s1",IF($BX145=Spécificité1Caprins,1)),
INDEX(Règles_caprins[Specificite],MATCH(ChoixRationCaprins&amp;$BX145,Règles_caprins[Ration]&amp;Règles_caprins[Aliment],0))="c"),
INDEX(Règles_caprins[Valeur 3-6],MATCH(ChoixRationCaprins&amp;$BX145,Règles_caprins[Ration]&amp;Règles_caprins[Aliment],0)),0),0)*chevrette_3_6_mois*NbreJoursNourrirCaprins)</f>
        <v>0</v>
      </c>
      <c r="CB145" s="332">
        <f t="array" ref="CB145">IF(ChoixRationComplèteCaprins=OUI,0,IFERROR(IF(OR(AND(INDEX(Règles_caprins[Specificite],MATCH(ChoixRationCaprins&amp;$BX145,Règles_caprins[Ration]&amp;Règles_caprins[Aliment],0))="s1",IF($BX145=Spécificité1Caprins,1)),
INDEX(Règles_caprins[Specificite],MATCH(ChoixRationCaprins&amp;$BX145,Règles_caprins[Ration]&amp;Règles_caprins[Aliment],0))="c"),
INDEX(Règles_caprins[Valeur 0-3],MATCH(ChoixRationCaprins&amp;$BX145,Règles_caprins[Ration]&amp;Règles_caprins[Aliment],0)),0),0)*chevrette_0_3_mois*NbreJoursNourrirCaprins)</f>
        <v>0</v>
      </c>
      <c r="CC145" s="332">
        <f t="shared" si="11"/>
        <v>0</v>
      </c>
    </row>
    <row r="146" spans="1:86" ht="12.75" customHeight="1" x14ac:dyDescent="0.2">
      <c r="A146" s="355" t="s">
        <v>322</v>
      </c>
      <c r="B146" s="364">
        <v>3</v>
      </c>
      <c r="BB146" s="369" t="s">
        <v>442</v>
      </c>
      <c r="BC146" s="344" t="s">
        <v>434</v>
      </c>
      <c r="BD146" s="344" t="s">
        <v>735</v>
      </c>
      <c r="BE146" s="370">
        <v>0</v>
      </c>
      <c r="BF146" s="370">
        <v>0</v>
      </c>
      <c r="BG146" s="370">
        <v>0</v>
      </c>
      <c r="BH146" s="370">
        <v>0</v>
      </c>
      <c r="BI146" s="370">
        <v>0</v>
      </c>
      <c r="BJ146" s="370">
        <v>0</v>
      </c>
      <c r="BK146" s="371">
        <v>0</v>
      </c>
      <c r="BL146" s="305"/>
      <c r="BM146" s="332" t="str">
        <f t="shared" si="10"/>
        <v>Triticale</v>
      </c>
      <c r="BN146" s="333">
        <f t="array" ref="BN146">SUM((IF(QualitéAlimentsBisonneauxMâles_0_3_mois=BONNE,VLOOKUP("Triticale",AlimentsRationHivernaleBisonsMâles,8,FALSE),0)+(IF(QualitéAlimentsBisonneauxFemelles_0_3_mois=BONNE,VLOOKUP("Triticale",AlimentsRationHivernaleBisonsFemelles,8,FALSE),0)+(IF(QualitéAlimentsBisonneauxMâles_3_6_mois=BONNE,VLOOKUP("Triticale",AlimentsRationHivernaleBisonsMâles,7,FALSE),0)+(IF(QualitéAlimentsBisonneauxFemelles_3_6_mois=BONNE,VLOOKUP("Triticale",AlimentsRationHivernaleBisonsFemelles,7,FALSE),0)+(IF(QualitéAlimentsBisonneauxMâles_6_12_mois=BONNE,VLOOKUP("Triticale",AlimentsRationHivernaleBisonsMâles,6,FALSE),0)+(IF(QualitéAlimentsBisonneauxFemelles_6_12_mois=BONNE,VLOOKUP("Triticale",AlimentsRationHivernaleBisonsFemelles,6,FALSE),0)+(IF(QualitéAlimentsJeunesBisons_12_18_mois=BONNE,VLOOKUP("Triticale",AlimentsRationHivernaleBisonsMâles,5,FALSE),0)+(IF(QualitéAlimentsJeunesBisonnes_12_18_mois=BONNE,VLOOKUP("Triticale",AlimentsRationHivernaleBisonsFemelles,5,FALSE),0)+(IF(QualitéAlimentsJeunesBisons_18_24_mois=BONNE,VLOOKUP("Triticale",AlimentsRationHivernaleBisonsMâles,4,FALSE),0)+(IF(QualitéAlimentsJeunesBisonnes_18_24_mois=BONNE,VLOOKUP("Triticale",AlimentsRationHivernaleBisonsFemelles,4,FALSE),0)+(IF(QualitéAlimentsJeunesBisons_24_36_mois=BONNE,VLOOKUP("Triticale",AlimentsRationHivernaleBisonsMâles,3,FALSE),0)+(IF(QualitéAlimentsJeunesBisonnes_24_36_mois=BONNE,VLOOKUP("Triticale",AlimentsRationHivernaleBisonsFemelles,3,FALSE),0)+(IF(QualitéAlimentsBisons=BONNE,VLOOKUP("Triticale",AlimentsRationHivernaleBisonsMâles,2,FALSE),0)+(IF(QualitéAlimentsBisonnes=BONNE,VLOOKUP("Triticale",AlimentsRationHivernaleBisonsFemelles,2,FALSE),0))))))))))))))))</f>
        <v>0</v>
      </c>
      <c r="BO146" s="333">
        <f t="array" ref="BO146">SUM((IF(QualitéAlimentsBisonneauxMâles_0_3_mois=MOYENNE,VLOOKUP("Triticale",AlimentsRationHivernaleBisonsMâles,8,FALSE),0)+(IF(QualitéAlimentsBisonneauxFemelles_0_3_mois=MOYENNE,VLOOKUP("Triticale",AlimentsRationHivernaleBisonsFemelles,8,FALSE),0)+(IF(QualitéAlimentsBisonneauxMâles_3_6_mois=MOYENNE,VLOOKUP("Triticale",AlimentsRationHivernaleBisonsMâles,7,FALSE),0)+(IF(QualitéAlimentsBisonneauxFemelles_3_6_mois=MOYENNE,VLOOKUP("Triticale",AlimentsRationHivernaleBisonsFemelles,7,FALSE),0)+(IF(QualitéAlimentsBisonneauxMâles_6_12_mois=MOYENNE,VLOOKUP("Triticale",AlimentsRationHivernaleBisonsMâles,6,FALSE),0)+(IF(QualitéAlimentsBisonneauxFemelles_6_12_mois=MOYENNE,VLOOKUP("Triticale",AlimentsRationHivernaleBisonsFemelles,6,FALSE),0)+(IF(QualitéAlimentsJeunesBisons_12_18_mois=MOYENNE,VLOOKUP("Triticale",AlimentsRationHivernaleBisonsMâles,5,FALSE),0)+(IF(QualitéAlimentsJeunesBisonnes_12_18_mois=MOYENNE,VLOOKUP("Triticale",AlimentsRationHivernaleBisonsFemelles,5,FALSE),0)+(IF(QualitéAlimentsJeunesBisons_18_24_mois=MOYENNE,VLOOKUP("Triticale",AlimentsRationHivernaleBisonsMâles,4,FALSE),0)+(IF(QualitéAlimentsJeunesBisonnes_18_24_mois=MOYENNE,VLOOKUP("Triticale",AlimentsRationHivernaleBisonsFemelles,4,FALSE),0)+(IF(QualitéAlimentsJeunesBisons_24_36_mois=MOYENNE,VLOOKUP("Triticale",AlimentsRationHivernaleBisonsMâles,3,FALSE),0)+(IF(QualitéAlimentsJeunesBisonnes_24_36_mois=MOYENNE,VLOOKUP("Triticale",AlimentsRationHivernaleBisonsFemelles,3,FALSE),0)+(IF(QualitéAlimentsBisons=MOYENNE,VLOOKUP("Triticale",AlimentsRationHivernaleBisonsMâles,2,FALSE),0)+(IF(QualitéAlimentsBisonnes=MOYENNE,VLOOKUP("Triticale",AlimentsRationHivernaleBisonsFemelles,2,FALSE),0))))))))))))))))</f>
        <v>0</v>
      </c>
      <c r="BP146" s="333">
        <f t="array" ref="BP146">SUM((IF(QualitéAlimentsBisonneauxMâles_0_3_mois=MAUVAISE,VLOOKUP("Triticale",AlimentsRationHivernaleBisonsMâles,8,FALSE),0)+(IF(QualitéAlimentsBisonneauxFemelles_0_3_mois=MAUVAISE,VLOOKUP("Triticale",AlimentsRationHivernaleBisonsFemelles,8,FALSE),0)+(IF(QualitéAlimentsBisonneauxMâles_3_6_mois=MAUVAISE,VLOOKUP("Triticale",AlimentsRationHivernaleBisonsMâles,7,FALSE),0)+(IF(QualitéAlimentsBisonneauxFemelles_3_6_mois=MAUVAISE,VLOOKUP("Triticale",AlimentsRationHivernaleBisonsFemelles,7,FALSE),0)+(IF(QualitéAlimentsBisonneauxMâles_6_12_mois=MAUVAISE,VLOOKUP("Triticale",AlimentsRationHivernaleBisonsMâles,6,FALSE),0)+(IF(QualitéAlimentsBisonneauxFemelles_6_12_mois=MAUVAISE,VLOOKUP("Triticale",AlimentsRationHivernaleBisonsFemelles,6,FALSE),0)+(IF(QualitéAlimentsJeunesBisons_12_18_mois=MAUVAISE,VLOOKUP("Triticale",AlimentsRationHivernaleBisonsMâles,5,FALSE),0)+(IF(QualitéAlimentsJeunesBisonnes_12_18_mois=MAUVAISE,VLOOKUP("Triticale",AlimentsRationHivernaleBisonsFemelles,5,FALSE),0)+(IF(QualitéAlimentsJeunesBisons_18_24_mois=MAUVAISE,VLOOKUP("Triticale",AlimentsRationHivernaleBisonsMâles,4,FALSE),0)+(IF(QualitéAlimentsJeunesBisonnes_18_24_mois=MAUVAISE,VLOOKUP("Triticale",AlimentsRationHivernaleBisonsFemelles,4,FALSE),0)+(IF(QualitéAlimentsJeunesBisons_24_36_mois=MAUVAISE,VLOOKUP("Triticale",AlimentsRationHivernaleBisonsMâles,3,FALSE),0)+(IF(QualitéAlimentsJeunesBisonnes_24_36_mois=MAUVAISE,VLOOKUP("Triticale",AlimentsRationHivernaleBisonsFemelles,3,FALSE),0)+(IF(QualitéAlimentsBisons=MAUVAISE,VLOOKUP("Triticale",AlimentsRationHivernaleBisonsMâles,2,FALSE),0)+(IF(QualitéAlimentsBisonnes=MAUVAISE,VLOOKUP("Triticale",AlimentsRationHivernaleBisonsFemelles,2,FALSE),0))))))))))))))))</f>
        <v>0</v>
      </c>
      <c r="BX146" s="332" t="str">
        <f t="shared" si="12"/>
        <v>Blé</v>
      </c>
      <c r="BY146" s="332">
        <f t="array" ref="BY146">IF(ChoixRationComplèteCaprins=OUI,0,IFERROR(IF(OR(AND(INDEX(Règles_caprins[Specificite],MATCH(ChoixRationCaprins&amp;$BX146,Règles_caprins[Ration]&amp;Règles_caprins[Aliment],0))="s1",IF($BX146=Spécificité1Caprins,1)),
INDEX(Règles_caprins[Specificite],MATCH(ChoixRationCaprins&amp;$BX146,Règles_caprins[Ration]&amp;Règles_caprins[Aliment],0))="c"),
INDEX(Règles_caprins[Valeur 12 et plus],MATCH(ChoixRationCaprins&amp;$BX146,Règles_caprins[Ration]&amp;Règles_caprins[Aliment],0)),0),0)*TotalChèvres*NbreJoursNourrirCaprins)</f>
        <v>0</v>
      </c>
      <c r="BZ146" s="332">
        <f t="array" ref="BZ146">IF(ChoixRationComplèteCaprins=OUI,0,IFERROR(IF(OR(AND(INDEX(Règles_caprins[Specificite],MATCH(ChoixRationCaprins&amp;$BX146,Règles_caprins[Ration]&amp;Règles_caprins[Aliment],0))="s1",IF($BX146=Spécificité1Caprins,1)),
INDEX(Règles_caprins[Specificite],MATCH(ChoixRationCaprins&amp;$BX146,Règles_caprins[Ration]&amp;Règles_caprins[Aliment],0))="c"),
INDEX(Règles_caprins[Valeur 6-12],MATCH(ChoixRationCaprins&amp;$BX146,Règles_caprins[Ration]&amp;Règles_caprins[Aliment],0)),0),0)*jeune_chèvre_6_12_mois*NbreJoursNourrirCaprins)</f>
        <v>0</v>
      </c>
      <c r="CA146" s="332">
        <f t="array" ref="CA146">IF(ChoixRationComplèteCaprins=OUI,0,IFERROR(IF(OR(AND(INDEX(Règles_caprins[Specificite],MATCH(ChoixRationCaprins&amp;$BX146,Règles_caprins[Ration]&amp;Règles_caprins[Aliment],0))="s1",IF($BX146=Spécificité1Caprins,1)),
INDEX(Règles_caprins[Specificite],MATCH(ChoixRationCaprins&amp;$BX146,Règles_caprins[Ration]&amp;Règles_caprins[Aliment],0))="c"),
INDEX(Règles_caprins[Valeur 3-6],MATCH(ChoixRationCaprins&amp;$BX146,Règles_caprins[Ration]&amp;Règles_caprins[Aliment],0)),0),0)*chevrette_3_6_mois*NbreJoursNourrirCaprins)</f>
        <v>0</v>
      </c>
      <c r="CB146" s="332">
        <f t="array" ref="CB146">IF(ChoixRationComplèteCaprins=OUI,0,IFERROR(IF(OR(AND(INDEX(Règles_caprins[Specificite],MATCH(ChoixRationCaprins&amp;$BX146,Règles_caprins[Ration]&amp;Règles_caprins[Aliment],0))="s1",IF($BX146=Spécificité1Caprins,1)),
INDEX(Règles_caprins[Specificite],MATCH(ChoixRationCaprins&amp;$BX146,Règles_caprins[Ration]&amp;Règles_caprins[Aliment],0))="c"),
INDEX(Règles_caprins[Valeur 0-3],MATCH(ChoixRationCaprins&amp;$BX146,Règles_caprins[Ration]&amp;Règles_caprins[Aliment],0)),0),0)*chevrette_0_3_mois*NbreJoursNourrirCaprins)</f>
        <v>0</v>
      </c>
      <c r="CC146" s="332">
        <f t="shared" si="11"/>
        <v>0</v>
      </c>
      <c r="CH146" s="295"/>
    </row>
    <row r="147" spans="1:86" ht="12.75" customHeight="1" x14ac:dyDescent="0.2">
      <c r="A147" s="355" t="s">
        <v>323</v>
      </c>
      <c r="B147" s="364">
        <v>2</v>
      </c>
      <c r="BB147" s="369" t="s">
        <v>442</v>
      </c>
      <c r="BC147" s="344" t="s">
        <v>124</v>
      </c>
      <c r="BD147" s="344" t="s">
        <v>711</v>
      </c>
      <c r="BE147" s="370">
        <v>56</v>
      </c>
      <c r="BF147" s="370">
        <v>48</v>
      </c>
      <c r="BG147" s="370">
        <v>32</v>
      </c>
      <c r="BH147" s="370">
        <v>24</v>
      </c>
      <c r="BI147" s="370">
        <v>16</v>
      </c>
      <c r="BJ147" s="370">
        <v>8</v>
      </c>
      <c r="BK147" s="371">
        <v>0</v>
      </c>
      <c r="BL147" s="305"/>
      <c r="BM147" s="332">
        <f t="shared" si="10"/>
        <v>0</v>
      </c>
      <c r="BN147" s="333"/>
      <c r="BO147" s="333"/>
      <c r="BP147" s="333"/>
      <c r="BX147" s="332" t="str">
        <f t="shared" si="12"/>
        <v>Bouchons luzerne</v>
      </c>
      <c r="BY147" s="332">
        <f t="array" ref="BY147">IF(ChoixRationComplèteCaprins=OUI,0,IFERROR(IF(OR(AND(INDEX(Règles_caprins[Specificite],MATCH(ChoixRationCaprins&amp;$BX147,Règles_caprins[Ration]&amp;Règles_caprins[Aliment],0))="s1",IF($BX147=Spécificité1Caprins,1)),
INDEX(Règles_caprins[Specificite],MATCH(ChoixRationCaprins&amp;$BX147,Règles_caprins[Ration]&amp;Règles_caprins[Aliment],0))="c"),
INDEX(Règles_caprins[Valeur 12 et plus],MATCH(ChoixRationCaprins&amp;$BX147,Règles_caprins[Ration]&amp;Règles_caprins[Aliment],0)),0),0)*TotalChèvres*NbreJoursNourrirCaprins)</f>
        <v>0</v>
      </c>
      <c r="BZ147" s="332">
        <f t="array" ref="BZ147">IF(ChoixRationComplèteCaprins=OUI,0,IFERROR(IF(OR(AND(INDEX(Règles_caprins[Specificite],MATCH(ChoixRationCaprins&amp;$BX147,Règles_caprins[Ration]&amp;Règles_caprins[Aliment],0))="s1",IF($BX147=Spécificité1Caprins,1)),
INDEX(Règles_caprins[Specificite],MATCH(ChoixRationCaprins&amp;$BX147,Règles_caprins[Ration]&amp;Règles_caprins[Aliment],0))="c"),
INDEX(Règles_caprins[Valeur 6-12],MATCH(ChoixRationCaprins&amp;$BX147,Règles_caprins[Ration]&amp;Règles_caprins[Aliment],0)),0),0)*jeune_chèvre_6_12_mois*NbreJoursNourrirCaprins)</f>
        <v>0</v>
      </c>
      <c r="CA147" s="332">
        <f t="array" ref="CA147">IF(ChoixRationComplèteCaprins=OUI,0,IFERROR(IF(OR(AND(INDEX(Règles_caprins[Specificite],MATCH(ChoixRationCaprins&amp;$BX147,Règles_caprins[Ration]&amp;Règles_caprins[Aliment],0))="s1",IF($BX147=Spécificité1Caprins,1)),
INDEX(Règles_caprins[Specificite],MATCH(ChoixRationCaprins&amp;$BX147,Règles_caprins[Ration]&amp;Règles_caprins[Aliment],0))="c"),
INDEX(Règles_caprins[Valeur 3-6],MATCH(ChoixRationCaprins&amp;$BX147,Règles_caprins[Ration]&amp;Règles_caprins[Aliment],0)),0),0)*chevrette_3_6_mois*NbreJoursNourrirCaprins)</f>
        <v>0</v>
      </c>
      <c r="CB147" s="332">
        <f t="array" ref="CB147">IF(ChoixRationComplèteCaprins=OUI,0,IFERROR(IF(OR(AND(INDEX(Règles_caprins[Specificite],MATCH(ChoixRationCaprins&amp;$BX147,Règles_caprins[Ration]&amp;Règles_caprins[Aliment],0))="s1",IF($BX147=Spécificité1Caprins,1)),
INDEX(Règles_caprins[Specificite],MATCH(ChoixRationCaprins&amp;$BX147,Règles_caprins[Ration]&amp;Règles_caprins[Aliment],0))="c"),
INDEX(Règles_caprins[Valeur 0-3],MATCH(ChoixRationCaprins&amp;$BX147,Règles_caprins[Ration]&amp;Règles_caprins[Aliment],0)),0),0)*chevrette_0_3_mois*NbreJoursNourrirCaprins)</f>
        <v>0</v>
      </c>
      <c r="CC147" s="332">
        <f t="shared" si="11"/>
        <v>0</v>
      </c>
      <c r="CH147" s="295"/>
    </row>
    <row r="148" spans="1:86" ht="12.75" customHeight="1" x14ac:dyDescent="0.2">
      <c r="A148" s="355" t="s">
        <v>324</v>
      </c>
      <c r="B148" s="364">
        <v>1</v>
      </c>
      <c r="BB148" s="369" t="s">
        <v>442</v>
      </c>
      <c r="BC148" s="344" t="s">
        <v>190</v>
      </c>
      <c r="BD148" s="344" t="s">
        <v>711</v>
      </c>
      <c r="BE148" s="370">
        <v>24</v>
      </c>
      <c r="BF148" s="370">
        <v>24</v>
      </c>
      <c r="BG148" s="370">
        <v>16</v>
      </c>
      <c r="BH148" s="370">
        <v>12</v>
      </c>
      <c r="BI148" s="370">
        <v>8</v>
      </c>
      <c r="BJ148" s="370">
        <v>4</v>
      </c>
      <c r="BK148" s="371">
        <v>0</v>
      </c>
      <c r="BL148" s="305"/>
      <c r="BM148" s="332">
        <f t="shared" si="10"/>
        <v>0</v>
      </c>
      <c r="BN148" s="333"/>
      <c r="BO148" s="333"/>
      <c r="BP148" s="333"/>
      <c r="BX148" s="332" t="str">
        <f t="shared" si="12"/>
        <v>Chanvre</v>
      </c>
      <c r="BY148" s="332">
        <f t="array" ref="BY148">IF(ChoixRationComplèteCaprins=OUI,0,IFERROR(IF(OR(AND(INDEX(Règles_caprins[Specificite],MATCH(ChoixRationCaprins&amp;$BX148,Règles_caprins[Ration]&amp;Règles_caprins[Aliment],0))="s1",IF($BX148=Spécificité1Caprins,1)),
INDEX(Règles_caprins[Specificite],MATCH(ChoixRationCaprins&amp;$BX148,Règles_caprins[Ration]&amp;Règles_caprins[Aliment],0))="c"),
INDEX(Règles_caprins[Valeur 12 et plus],MATCH(ChoixRationCaprins&amp;$BX148,Règles_caprins[Ration]&amp;Règles_caprins[Aliment],0)),0),0)*TotalChèvres*NbreJoursNourrirCaprins)</f>
        <v>0</v>
      </c>
      <c r="BZ148" s="332">
        <f t="array" ref="BZ148">IF(ChoixRationComplèteCaprins=OUI,0,IFERROR(IF(OR(AND(INDEX(Règles_caprins[Specificite],MATCH(ChoixRationCaprins&amp;$BX148,Règles_caprins[Ration]&amp;Règles_caprins[Aliment],0))="s1",IF($BX148=Spécificité1Caprins,1)),
INDEX(Règles_caprins[Specificite],MATCH(ChoixRationCaprins&amp;$BX148,Règles_caprins[Ration]&amp;Règles_caprins[Aliment],0))="c"),
INDEX(Règles_caprins[Valeur 6-12],MATCH(ChoixRationCaprins&amp;$BX148,Règles_caprins[Ration]&amp;Règles_caprins[Aliment],0)),0),0)*jeune_chèvre_6_12_mois*NbreJoursNourrirCaprins)</f>
        <v>0</v>
      </c>
      <c r="CA148" s="332">
        <f t="array" ref="CA148">IF(ChoixRationComplèteCaprins=OUI,0,IFERROR(IF(OR(AND(INDEX(Règles_caprins[Specificite],MATCH(ChoixRationCaprins&amp;$BX148,Règles_caprins[Ration]&amp;Règles_caprins[Aliment],0))="s1",IF($BX148=Spécificité1Caprins,1)),
INDEX(Règles_caprins[Specificite],MATCH(ChoixRationCaprins&amp;$BX148,Règles_caprins[Ration]&amp;Règles_caprins[Aliment],0))="c"),
INDEX(Règles_caprins[Valeur 3-6],MATCH(ChoixRationCaprins&amp;$BX148,Règles_caprins[Ration]&amp;Règles_caprins[Aliment],0)),0),0)*chevrette_3_6_mois*NbreJoursNourrirCaprins)</f>
        <v>0</v>
      </c>
      <c r="CB148" s="332">
        <f t="array" ref="CB148">IF(ChoixRationComplèteCaprins=OUI,0,IFERROR(IF(OR(AND(INDEX(Règles_caprins[Specificite],MATCH(ChoixRationCaprins&amp;$BX148,Règles_caprins[Ration]&amp;Règles_caprins[Aliment],0))="s1",IF($BX148=Spécificité1Caprins,1)),
INDEX(Règles_caprins[Specificite],MATCH(ChoixRationCaprins&amp;$BX148,Règles_caprins[Ration]&amp;Règles_caprins[Aliment],0))="c"),
INDEX(Règles_caprins[Valeur 0-3],MATCH(ChoixRationCaprins&amp;$BX148,Règles_caprins[Ration]&amp;Règles_caprins[Aliment],0)),0),0)*chevrette_0_3_mois*NbreJoursNourrirCaprins)</f>
        <v>0</v>
      </c>
      <c r="CC148" s="332">
        <f t="shared" si="11"/>
        <v>0</v>
      </c>
      <c r="CH148" s="295"/>
    </row>
    <row r="149" spans="1:86" ht="12.75" customHeight="1" x14ac:dyDescent="0.2">
      <c r="A149" s="355" t="s">
        <v>325</v>
      </c>
      <c r="B149" s="364">
        <v>40</v>
      </c>
      <c r="BB149" s="369" t="s">
        <v>442</v>
      </c>
      <c r="BC149" s="344" t="s">
        <v>382</v>
      </c>
      <c r="BD149" s="344" t="s">
        <v>711</v>
      </c>
      <c r="BE149" s="370">
        <v>24</v>
      </c>
      <c r="BF149" s="370">
        <v>24</v>
      </c>
      <c r="BG149" s="370">
        <v>16</v>
      </c>
      <c r="BH149" s="370">
        <v>12</v>
      </c>
      <c r="BI149" s="370">
        <v>8</v>
      </c>
      <c r="BJ149" s="370">
        <v>4</v>
      </c>
      <c r="BK149" s="371">
        <v>0</v>
      </c>
      <c r="BL149" s="305"/>
      <c r="BM149" s="332"/>
      <c r="BN149" s="333"/>
      <c r="BO149" s="333"/>
      <c r="BP149" s="333"/>
      <c r="BX149" s="332" t="str">
        <f t="shared" si="12"/>
        <v>Canola</v>
      </c>
      <c r="BY149" s="332">
        <f t="array" ref="BY149">IF(ChoixRationComplèteCaprins=OUI,0,IFERROR(IF(OR(AND(INDEX(Règles_caprins[Specificite],MATCH(ChoixRationCaprins&amp;$BX149,Règles_caprins[Ration]&amp;Règles_caprins[Aliment],0))="s1",IF($BX149=Spécificité1Caprins,1)),
INDEX(Règles_caprins[Specificite],MATCH(ChoixRationCaprins&amp;$BX149,Règles_caprins[Ration]&amp;Règles_caprins[Aliment],0))="c"),
INDEX(Règles_caprins[Valeur 12 et plus],MATCH(ChoixRationCaprins&amp;$BX149,Règles_caprins[Ration]&amp;Règles_caprins[Aliment],0)),0),0)*TotalChèvres*NbreJoursNourrirCaprins)</f>
        <v>0</v>
      </c>
      <c r="BZ149" s="332">
        <f t="array" ref="BZ149">IF(ChoixRationComplèteCaprins=OUI,0,IFERROR(IF(OR(AND(INDEX(Règles_caprins[Specificite],MATCH(ChoixRationCaprins&amp;$BX149,Règles_caprins[Ration]&amp;Règles_caprins[Aliment],0))="s1",IF($BX149=Spécificité1Caprins,1)),
INDEX(Règles_caprins[Specificite],MATCH(ChoixRationCaprins&amp;$BX149,Règles_caprins[Ration]&amp;Règles_caprins[Aliment],0))="c"),
INDEX(Règles_caprins[Valeur 6-12],MATCH(ChoixRationCaprins&amp;$BX149,Règles_caprins[Ration]&amp;Règles_caprins[Aliment],0)),0),0)*jeune_chèvre_6_12_mois*NbreJoursNourrirCaprins)</f>
        <v>0</v>
      </c>
      <c r="CA149" s="332">
        <f t="array" ref="CA149">IF(ChoixRationComplèteCaprins=OUI,0,IFERROR(IF(OR(AND(INDEX(Règles_caprins[Specificite],MATCH(ChoixRationCaprins&amp;$BX149,Règles_caprins[Ration]&amp;Règles_caprins[Aliment],0))="s1",IF($BX149=Spécificité1Caprins,1)),
INDEX(Règles_caprins[Specificite],MATCH(ChoixRationCaprins&amp;$BX149,Règles_caprins[Ration]&amp;Règles_caprins[Aliment],0))="c"),
INDEX(Règles_caprins[Valeur 3-6],MATCH(ChoixRationCaprins&amp;$BX149,Règles_caprins[Ration]&amp;Règles_caprins[Aliment],0)),0),0)*chevrette_3_6_mois*NbreJoursNourrirCaprins)</f>
        <v>0</v>
      </c>
      <c r="CB149" s="332">
        <f t="array" ref="CB149">IF(ChoixRationComplèteCaprins=OUI,0,IFERROR(IF(OR(AND(INDEX(Règles_caprins[Specificite],MATCH(ChoixRationCaprins&amp;$BX149,Règles_caprins[Ration]&amp;Règles_caprins[Aliment],0))="s1",IF($BX149=Spécificité1Caprins,1)),
INDEX(Règles_caprins[Specificite],MATCH(ChoixRationCaprins&amp;$BX149,Règles_caprins[Ration]&amp;Règles_caprins[Aliment],0))="c"),
INDEX(Règles_caprins[Valeur 0-3],MATCH(ChoixRationCaprins&amp;$BX149,Règles_caprins[Ration]&amp;Règles_caprins[Aliment],0)),0),0)*chevrette_0_3_mois*NbreJoursNourrirCaprins)</f>
        <v>0</v>
      </c>
      <c r="CC149" s="332">
        <f t="shared" si="11"/>
        <v>0</v>
      </c>
      <c r="CH149" s="295"/>
    </row>
    <row r="150" spans="1:86" ht="12.75" customHeight="1" x14ac:dyDescent="0.2">
      <c r="A150" s="355" t="s">
        <v>326</v>
      </c>
      <c r="B150" s="364">
        <v>20</v>
      </c>
      <c r="BB150" s="369" t="s">
        <v>442</v>
      </c>
      <c r="BC150" s="344" t="s">
        <v>439</v>
      </c>
      <c r="BD150" s="344" t="s">
        <v>711</v>
      </c>
      <c r="BE150" s="370">
        <v>28</v>
      </c>
      <c r="BF150" s="370">
        <v>24</v>
      </c>
      <c r="BG150" s="370">
        <v>16</v>
      </c>
      <c r="BH150" s="370">
        <v>12</v>
      </c>
      <c r="BI150" s="370">
        <v>8</v>
      </c>
      <c r="BJ150" s="370">
        <v>4</v>
      </c>
      <c r="BK150" s="371">
        <v>0</v>
      </c>
      <c r="BL150" s="305"/>
      <c r="BM150" s="332"/>
      <c r="BN150" s="333"/>
      <c r="BO150" s="333"/>
      <c r="BP150" s="333"/>
      <c r="BX150" s="332" t="str">
        <f t="shared" si="12"/>
        <v>Colza</v>
      </c>
      <c r="BY150" s="332">
        <f t="array" ref="BY150">IF(ChoixRationComplèteCaprins=OUI,0,IFERROR(IF(OR(AND(INDEX(Règles_caprins[Specificite],MATCH(ChoixRationCaprins&amp;$BX150,Règles_caprins[Ration]&amp;Règles_caprins[Aliment],0))="s1",IF($BX150=Spécificité1Caprins,1)),
INDEX(Règles_caprins[Specificite],MATCH(ChoixRationCaprins&amp;$BX150,Règles_caprins[Ration]&amp;Règles_caprins[Aliment],0))="c"),
INDEX(Règles_caprins[Valeur 12 et plus],MATCH(ChoixRationCaprins&amp;$BX150,Règles_caprins[Ration]&amp;Règles_caprins[Aliment],0)),0),0)*TotalChèvres*NbreJoursNourrirCaprins)</f>
        <v>0</v>
      </c>
      <c r="BZ150" s="332">
        <f t="array" ref="BZ150">IF(ChoixRationComplèteCaprins=OUI,0,IFERROR(IF(OR(AND(INDEX(Règles_caprins[Specificite],MATCH(ChoixRationCaprins&amp;$BX150,Règles_caprins[Ration]&amp;Règles_caprins[Aliment],0))="s1",IF($BX150=Spécificité1Caprins,1)),
INDEX(Règles_caprins[Specificite],MATCH(ChoixRationCaprins&amp;$BX150,Règles_caprins[Ration]&amp;Règles_caprins[Aliment],0))="c"),
INDEX(Règles_caprins[Valeur 6-12],MATCH(ChoixRationCaprins&amp;$BX150,Règles_caprins[Ration]&amp;Règles_caprins[Aliment],0)),0),0)*jeune_chèvre_6_12_mois*NbreJoursNourrirCaprins)</f>
        <v>0</v>
      </c>
      <c r="CA150" s="332">
        <f t="array" ref="CA150">IF(ChoixRationComplèteCaprins=OUI,0,IFERROR(IF(OR(AND(INDEX(Règles_caprins[Specificite],MATCH(ChoixRationCaprins&amp;$BX150,Règles_caprins[Ration]&amp;Règles_caprins[Aliment],0))="s1",IF($BX150=Spécificité1Caprins,1)),
INDEX(Règles_caprins[Specificite],MATCH(ChoixRationCaprins&amp;$BX150,Règles_caprins[Ration]&amp;Règles_caprins[Aliment],0))="c"),
INDEX(Règles_caprins[Valeur 3-6],MATCH(ChoixRationCaprins&amp;$BX150,Règles_caprins[Ration]&amp;Règles_caprins[Aliment],0)),0),0)*chevrette_3_6_mois*NbreJoursNourrirCaprins)</f>
        <v>0</v>
      </c>
      <c r="CB150" s="332">
        <f t="array" ref="CB150">IF(ChoixRationComplèteCaprins=OUI,0,IFERROR(IF(OR(AND(INDEX(Règles_caprins[Specificite],MATCH(ChoixRationCaprins&amp;$BX150,Règles_caprins[Ration]&amp;Règles_caprins[Aliment],0))="s1",IF($BX150=Spécificité1Caprins,1)),
INDEX(Règles_caprins[Specificite],MATCH(ChoixRationCaprins&amp;$BX150,Règles_caprins[Ration]&amp;Règles_caprins[Aliment],0))="c"),
INDEX(Règles_caprins[Valeur 0-3],MATCH(ChoixRationCaprins&amp;$BX150,Règles_caprins[Ration]&amp;Règles_caprins[Aliment],0)),0),0)*chevrette_0_3_mois*NbreJoursNourrirCaprins)</f>
        <v>0</v>
      </c>
      <c r="CC150" s="332">
        <f t="shared" si="11"/>
        <v>0</v>
      </c>
      <c r="CH150" s="295"/>
    </row>
    <row r="151" spans="1:86" ht="12.75" customHeight="1" x14ac:dyDescent="0.2">
      <c r="A151" s="355" t="s">
        <v>327</v>
      </c>
      <c r="B151" s="364">
        <v>10</v>
      </c>
      <c r="BB151" s="369" t="s">
        <v>442</v>
      </c>
      <c r="BC151" s="344" t="s">
        <v>383</v>
      </c>
      <c r="BD151" s="344" t="s">
        <v>712</v>
      </c>
      <c r="BE151" s="370">
        <v>7.2</v>
      </c>
      <c r="BF151" s="370">
        <v>6</v>
      </c>
      <c r="BG151" s="370">
        <v>4</v>
      </c>
      <c r="BH151" s="370">
        <v>2</v>
      </c>
      <c r="BI151" s="370">
        <v>1.2</v>
      </c>
      <c r="BJ151" s="370">
        <v>0.6</v>
      </c>
      <c r="BK151" s="371">
        <v>0</v>
      </c>
      <c r="BL151" s="305"/>
      <c r="BM151" s="332"/>
      <c r="BN151" s="333"/>
      <c r="BO151" s="333"/>
      <c r="BP151" s="333"/>
      <c r="BX151" s="332" t="str">
        <f t="shared" si="12"/>
        <v>concentré jeunes bovins</v>
      </c>
      <c r="BY151" s="332">
        <f t="array" ref="BY151">IF(ChoixRationComplèteCaprins=OUI,0,IFERROR(IF(OR(AND(INDEX(Règles_caprins[Specificite],MATCH(ChoixRationCaprins&amp;$BX151,Règles_caprins[Ration]&amp;Règles_caprins[Aliment],0))="s1",IF($BX151=Spécificité1Caprins,1)),
INDEX(Règles_caprins[Specificite],MATCH(ChoixRationCaprins&amp;$BX151,Règles_caprins[Ration]&amp;Règles_caprins[Aliment],0))="c"),
INDEX(Règles_caprins[Valeur 12 et plus],MATCH(ChoixRationCaprins&amp;$BX151,Règles_caprins[Ration]&amp;Règles_caprins[Aliment],0)),0),0)*TotalChèvres*NbreJoursNourrirCaprins)</f>
        <v>0</v>
      </c>
      <c r="BZ151" s="332">
        <f t="array" ref="BZ151">IF(ChoixRationComplèteCaprins=OUI,0,IFERROR(IF(OR(AND(INDEX(Règles_caprins[Specificite],MATCH(ChoixRationCaprins&amp;$BX151,Règles_caprins[Ration]&amp;Règles_caprins[Aliment],0))="s1",IF($BX151=Spécificité1Caprins,1)),
INDEX(Règles_caprins[Specificite],MATCH(ChoixRationCaprins&amp;$BX151,Règles_caprins[Ration]&amp;Règles_caprins[Aliment],0))="c"),
INDEX(Règles_caprins[Valeur 6-12],MATCH(ChoixRationCaprins&amp;$BX151,Règles_caprins[Ration]&amp;Règles_caprins[Aliment],0)),0),0)*jeune_chèvre_6_12_mois*NbreJoursNourrirCaprins)</f>
        <v>0</v>
      </c>
      <c r="CA151" s="332">
        <f t="array" ref="CA151">IF(ChoixRationComplèteCaprins=OUI,0,IFERROR(IF(OR(AND(INDEX(Règles_caprins[Specificite],MATCH(ChoixRationCaprins&amp;$BX151,Règles_caprins[Ration]&amp;Règles_caprins[Aliment],0))="s1",IF($BX151=Spécificité1Caprins,1)),
INDEX(Règles_caprins[Specificite],MATCH(ChoixRationCaprins&amp;$BX151,Règles_caprins[Ration]&amp;Règles_caprins[Aliment],0))="c"),
INDEX(Règles_caprins[Valeur 3-6],MATCH(ChoixRationCaprins&amp;$BX151,Règles_caprins[Ration]&amp;Règles_caprins[Aliment],0)),0),0)*chevrette_3_6_mois*NbreJoursNourrirCaprins)</f>
        <v>0</v>
      </c>
      <c r="CB151" s="332">
        <f t="array" ref="CB151">IF(ChoixRationComplèteCaprins=OUI,0,IFERROR(IF(OR(AND(INDEX(Règles_caprins[Specificite],MATCH(ChoixRationCaprins&amp;$BX151,Règles_caprins[Ration]&amp;Règles_caprins[Aliment],0))="s1",IF($BX151=Spécificité1Caprins,1)),
INDEX(Règles_caprins[Specificite],MATCH(ChoixRationCaprins&amp;$BX151,Règles_caprins[Ration]&amp;Règles_caprins[Aliment],0))="c"),
INDEX(Règles_caprins[Valeur 0-3],MATCH(ChoixRationCaprins&amp;$BX151,Règles_caprins[Ration]&amp;Règles_caprins[Aliment],0)),0),0)*chevrette_0_3_mois*NbreJoursNourrirCaprins)</f>
        <v>0</v>
      </c>
      <c r="CC151" s="332">
        <f t="shared" si="11"/>
        <v>0</v>
      </c>
      <c r="CH151" s="295"/>
    </row>
    <row r="152" spans="1:86" ht="12.75" customHeight="1" x14ac:dyDescent="0.2">
      <c r="A152" s="355" t="s">
        <v>292</v>
      </c>
      <c r="B152" s="364">
        <v>8</v>
      </c>
      <c r="BB152" s="369" t="s">
        <v>442</v>
      </c>
      <c r="BC152" s="344" t="s">
        <v>160</v>
      </c>
      <c r="BD152" s="344" t="s">
        <v>712</v>
      </c>
      <c r="BE152" s="370">
        <v>7.2</v>
      </c>
      <c r="BF152" s="370">
        <v>6</v>
      </c>
      <c r="BG152" s="370">
        <v>4</v>
      </c>
      <c r="BH152" s="370">
        <v>2</v>
      </c>
      <c r="BI152" s="370">
        <v>1.2</v>
      </c>
      <c r="BJ152" s="370">
        <v>0.6</v>
      </c>
      <c r="BK152" s="371">
        <v>0</v>
      </c>
      <c r="BL152" s="305"/>
      <c r="BM152" s="332"/>
      <c r="BN152" s="333"/>
      <c r="BO152" s="333"/>
      <c r="BP152" s="333"/>
      <c r="BX152" s="332" t="str">
        <f t="shared" si="12"/>
        <v>concentré jeunes lapins</v>
      </c>
      <c r="BY152" s="332">
        <f t="array" ref="BY152">IF(ChoixRationComplèteCaprins=OUI,0,IFERROR(IF(OR(AND(INDEX(Règles_caprins[Specificite],MATCH(ChoixRationCaprins&amp;$BX152,Règles_caprins[Ration]&amp;Règles_caprins[Aliment],0))="s1",IF($BX152=Spécificité1Caprins,1)),
INDEX(Règles_caprins[Specificite],MATCH(ChoixRationCaprins&amp;$BX152,Règles_caprins[Ration]&amp;Règles_caprins[Aliment],0))="c"),
INDEX(Règles_caprins[Valeur 12 et plus],MATCH(ChoixRationCaprins&amp;$BX152,Règles_caprins[Ration]&amp;Règles_caprins[Aliment],0)),0),0)*TotalChèvres*NbreJoursNourrirCaprins)</f>
        <v>0</v>
      </c>
      <c r="BZ152" s="332">
        <f t="array" ref="BZ152">IF(ChoixRationComplèteCaprins=OUI,0,IFERROR(IF(OR(AND(INDEX(Règles_caprins[Specificite],MATCH(ChoixRationCaprins&amp;$BX152,Règles_caprins[Ration]&amp;Règles_caprins[Aliment],0))="s1",IF($BX152=Spécificité1Caprins,1)),
INDEX(Règles_caprins[Specificite],MATCH(ChoixRationCaprins&amp;$BX152,Règles_caprins[Ration]&amp;Règles_caprins[Aliment],0))="c"),
INDEX(Règles_caprins[Valeur 6-12],MATCH(ChoixRationCaprins&amp;$BX152,Règles_caprins[Ration]&amp;Règles_caprins[Aliment],0)),0),0)*jeune_chèvre_6_12_mois*NbreJoursNourrirCaprins)</f>
        <v>0</v>
      </c>
      <c r="CA152" s="332">
        <f t="array" ref="CA152">IF(ChoixRationComplèteCaprins=OUI,0,IFERROR(IF(OR(AND(INDEX(Règles_caprins[Specificite],MATCH(ChoixRationCaprins&amp;$BX152,Règles_caprins[Ration]&amp;Règles_caprins[Aliment],0))="s1",IF($BX152=Spécificité1Caprins,1)),
INDEX(Règles_caprins[Specificite],MATCH(ChoixRationCaprins&amp;$BX152,Règles_caprins[Ration]&amp;Règles_caprins[Aliment],0))="c"),
INDEX(Règles_caprins[Valeur 3-6],MATCH(ChoixRationCaprins&amp;$BX152,Règles_caprins[Ration]&amp;Règles_caprins[Aliment],0)),0),0)*chevrette_3_6_mois*NbreJoursNourrirCaprins)</f>
        <v>0</v>
      </c>
      <c r="CB152" s="332">
        <f t="array" ref="CB152">IF(ChoixRationComplèteCaprins=OUI,0,IFERROR(IF(OR(AND(INDEX(Règles_caprins[Specificite],MATCH(ChoixRationCaprins&amp;$BX152,Règles_caprins[Ration]&amp;Règles_caprins[Aliment],0))="s1",IF($BX152=Spécificité1Caprins,1)),
INDEX(Règles_caprins[Specificite],MATCH(ChoixRationCaprins&amp;$BX152,Règles_caprins[Ration]&amp;Règles_caprins[Aliment],0))="c"),
INDEX(Règles_caprins[Valeur 0-3],MATCH(ChoixRationCaprins&amp;$BX152,Règles_caprins[Ration]&amp;Règles_caprins[Aliment],0)),0),0)*chevrette_0_3_mois*NbreJoursNourrirCaprins)</f>
        <v>0</v>
      </c>
      <c r="CC152" s="332">
        <f t="shared" si="11"/>
        <v>0</v>
      </c>
      <c r="CH152" s="295"/>
    </row>
    <row r="153" spans="1:86" ht="12.75" customHeight="1" x14ac:dyDescent="0.2">
      <c r="A153" s="355" t="s">
        <v>293</v>
      </c>
      <c r="B153" s="364">
        <v>6</v>
      </c>
      <c r="BB153" s="369" t="s">
        <v>442</v>
      </c>
      <c r="BC153" s="344" t="s">
        <v>47</v>
      </c>
      <c r="BD153" s="344" t="s">
        <v>712</v>
      </c>
      <c r="BE153" s="370">
        <v>7.2</v>
      </c>
      <c r="BF153" s="370">
        <v>6</v>
      </c>
      <c r="BG153" s="370">
        <v>4</v>
      </c>
      <c r="BH153" s="370">
        <v>2</v>
      </c>
      <c r="BI153" s="370">
        <v>1.2</v>
      </c>
      <c r="BJ153" s="370">
        <v>0.6</v>
      </c>
      <c r="BK153" s="371">
        <v>0</v>
      </c>
      <c r="BL153" s="305"/>
      <c r="BX153" s="332" t="str">
        <f t="shared" si="12"/>
        <v>concentré jeunes porcins</v>
      </c>
      <c r="BY153" s="332">
        <f t="array" ref="BY153">IF(ChoixRationComplèteCaprins=OUI,0,IFERROR(IF(OR(AND(INDEX(Règles_caprins[Specificite],MATCH(ChoixRationCaprins&amp;$BX153,Règles_caprins[Ration]&amp;Règles_caprins[Aliment],0))="s1",IF($BX153=Spécificité1Caprins,1)),
INDEX(Règles_caprins[Specificite],MATCH(ChoixRationCaprins&amp;$BX153,Règles_caprins[Ration]&amp;Règles_caprins[Aliment],0))="c"),
INDEX(Règles_caprins[Valeur 12 et plus],MATCH(ChoixRationCaprins&amp;$BX153,Règles_caprins[Ration]&amp;Règles_caprins[Aliment],0)),0),0)*TotalChèvres*NbreJoursNourrirCaprins)</f>
        <v>0</v>
      </c>
      <c r="BZ153" s="332">
        <f t="array" ref="BZ153">IF(ChoixRationComplèteCaprins=OUI,0,IFERROR(IF(OR(AND(INDEX(Règles_caprins[Specificite],MATCH(ChoixRationCaprins&amp;$BX153,Règles_caprins[Ration]&amp;Règles_caprins[Aliment],0))="s1",IF($BX153=Spécificité1Caprins,1)),
INDEX(Règles_caprins[Specificite],MATCH(ChoixRationCaprins&amp;$BX153,Règles_caprins[Ration]&amp;Règles_caprins[Aliment],0))="c"),
INDEX(Règles_caprins[Valeur 6-12],MATCH(ChoixRationCaprins&amp;$BX153,Règles_caprins[Ration]&amp;Règles_caprins[Aliment],0)),0),0)*jeune_chèvre_6_12_mois*NbreJoursNourrirCaprins)</f>
        <v>0</v>
      </c>
      <c r="CA153" s="332">
        <f t="array" ref="CA153">IF(ChoixRationComplèteCaprins=OUI,0,IFERROR(IF(OR(AND(INDEX(Règles_caprins[Specificite],MATCH(ChoixRationCaprins&amp;$BX153,Règles_caprins[Ration]&amp;Règles_caprins[Aliment],0))="s1",IF($BX153=Spécificité1Caprins,1)),
INDEX(Règles_caprins[Specificite],MATCH(ChoixRationCaprins&amp;$BX153,Règles_caprins[Ration]&amp;Règles_caprins[Aliment],0))="c"),
INDEX(Règles_caprins[Valeur 3-6],MATCH(ChoixRationCaprins&amp;$BX153,Règles_caprins[Ration]&amp;Règles_caprins[Aliment],0)),0),0)*chevrette_3_6_mois*NbreJoursNourrirCaprins)</f>
        <v>0</v>
      </c>
      <c r="CB153" s="332">
        <f t="array" ref="CB153">IF(ChoixRationComplèteCaprins=OUI,0,IFERROR(IF(OR(AND(INDEX(Règles_caprins[Specificite],MATCH(ChoixRationCaprins&amp;$BX153,Règles_caprins[Ration]&amp;Règles_caprins[Aliment],0))="s1",IF($BX153=Spécificité1Caprins,1)),
INDEX(Règles_caprins[Specificite],MATCH(ChoixRationCaprins&amp;$BX153,Règles_caprins[Ration]&amp;Règles_caprins[Aliment],0))="c"),
INDEX(Règles_caprins[Valeur 0-3],MATCH(ChoixRationCaprins&amp;$BX153,Règles_caprins[Ration]&amp;Règles_caprins[Aliment],0)),0),0)*chevrette_0_3_mois*NbreJoursNourrirCaprins)</f>
        <v>0</v>
      </c>
      <c r="CC153" s="332">
        <f t="shared" si="11"/>
        <v>0</v>
      </c>
      <c r="CH153" s="295"/>
    </row>
    <row r="154" spans="1:86" ht="12.75" customHeight="1" x14ac:dyDescent="0.2">
      <c r="A154" s="355" t="s">
        <v>294</v>
      </c>
      <c r="B154" s="364">
        <v>4</v>
      </c>
      <c r="BB154" s="369" t="s">
        <v>442</v>
      </c>
      <c r="BC154" s="344" t="s">
        <v>732</v>
      </c>
      <c r="BD154" s="344" t="s">
        <v>713</v>
      </c>
      <c r="BE154" s="370">
        <v>4.8</v>
      </c>
      <c r="BF154" s="370">
        <v>4</v>
      </c>
      <c r="BG154" s="370">
        <v>4</v>
      </c>
      <c r="BH154" s="370">
        <v>4</v>
      </c>
      <c r="BI154" s="370">
        <v>2</v>
      </c>
      <c r="BJ154" s="370">
        <v>1.2</v>
      </c>
      <c r="BK154" s="371">
        <v>0</v>
      </c>
      <c r="BL154" s="305"/>
      <c r="BX154" s="332" t="str">
        <f t="shared" si="12"/>
        <v>Ensilage d'herbe</v>
      </c>
      <c r="BY154" s="332">
        <f t="array" ref="BY154">IF(ChoixRationComplèteCaprins=OUI,0,IFERROR(IF(OR(AND(INDEX(Règles_caprins[Specificite],MATCH(ChoixRationCaprins&amp;$BX154,Règles_caprins[Ration]&amp;Règles_caprins[Aliment],0))="s1",IF($BX154=Spécificité1Caprins,1)),
INDEX(Règles_caprins[Specificite],MATCH(ChoixRationCaprins&amp;$BX154,Règles_caprins[Ration]&amp;Règles_caprins[Aliment],0))="c"),
INDEX(Règles_caprins[Valeur 12 et plus],MATCH(ChoixRationCaprins&amp;$BX154,Règles_caprins[Ration]&amp;Règles_caprins[Aliment],0)),0),0)*TotalChèvres*NbreJoursNourrirCaprins)</f>
        <v>0</v>
      </c>
      <c r="BZ154" s="332">
        <f t="array" ref="BZ154">IF(ChoixRationComplèteCaprins=OUI,0,IFERROR(IF(OR(AND(INDEX(Règles_caprins[Specificite],MATCH(ChoixRationCaprins&amp;$BX154,Règles_caprins[Ration]&amp;Règles_caprins[Aliment],0))="s1",IF($BX154=Spécificité1Caprins,1)),
INDEX(Règles_caprins[Specificite],MATCH(ChoixRationCaprins&amp;$BX154,Règles_caprins[Ration]&amp;Règles_caprins[Aliment],0))="c"),
INDEX(Règles_caprins[Valeur 6-12],MATCH(ChoixRationCaprins&amp;$BX154,Règles_caprins[Ration]&amp;Règles_caprins[Aliment],0)),0),0)*jeune_chèvre_6_12_mois*NbreJoursNourrirCaprins)</f>
        <v>0</v>
      </c>
      <c r="CA154" s="332">
        <f t="array" ref="CA154">IF(ChoixRationComplèteCaprins=OUI,0,IFERROR(IF(OR(AND(INDEX(Règles_caprins[Specificite],MATCH(ChoixRationCaprins&amp;$BX154,Règles_caprins[Ration]&amp;Règles_caprins[Aliment],0))="s1",IF($BX154=Spécificité1Caprins,1)),
INDEX(Règles_caprins[Specificite],MATCH(ChoixRationCaprins&amp;$BX154,Règles_caprins[Ration]&amp;Règles_caprins[Aliment],0))="c"),
INDEX(Règles_caprins[Valeur 3-6],MATCH(ChoixRationCaprins&amp;$BX154,Règles_caprins[Ration]&amp;Règles_caprins[Aliment],0)),0),0)*chevrette_3_6_mois*NbreJoursNourrirCaprins)</f>
        <v>0</v>
      </c>
      <c r="CB154" s="332">
        <f t="array" ref="CB154">IF(ChoixRationComplèteCaprins=OUI,0,IFERROR(IF(OR(AND(INDEX(Règles_caprins[Specificite],MATCH(ChoixRationCaprins&amp;$BX154,Règles_caprins[Ration]&amp;Règles_caprins[Aliment],0))="s1",IF($BX154=Spécificité1Caprins,1)),
INDEX(Règles_caprins[Specificite],MATCH(ChoixRationCaprins&amp;$BX154,Règles_caprins[Ration]&amp;Règles_caprins[Aliment],0))="c"),
INDEX(Règles_caprins[Valeur 0-3],MATCH(ChoixRationCaprins&amp;$BX154,Règles_caprins[Ration]&amp;Règles_caprins[Aliment],0)),0),0)*chevrette_0_3_mois*NbreJoursNourrirCaprins)</f>
        <v>0</v>
      </c>
      <c r="CC154" s="332">
        <f t="shared" si="11"/>
        <v>0</v>
      </c>
      <c r="CH154" s="295"/>
    </row>
    <row r="155" spans="1:86" ht="12.75" customHeight="1" x14ac:dyDescent="0.2">
      <c r="A155" s="355" t="s">
        <v>183</v>
      </c>
      <c r="B155" s="364">
        <v>2</v>
      </c>
      <c r="BB155" s="369" t="s">
        <v>442</v>
      </c>
      <c r="BC155" s="344" t="s">
        <v>426</v>
      </c>
      <c r="BD155" s="344" t="s">
        <v>713</v>
      </c>
      <c r="BE155" s="370">
        <v>4.8</v>
      </c>
      <c r="BF155" s="370">
        <v>4</v>
      </c>
      <c r="BG155" s="370">
        <v>4</v>
      </c>
      <c r="BH155" s="370">
        <v>4</v>
      </c>
      <c r="BI155" s="370">
        <v>2</v>
      </c>
      <c r="BJ155" s="370">
        <v>1.2</v>
      </c>
      <c r="BK155" s="371">
        <v>0</v>
      </c>
      <c r="BL155" s="305"/>
      <c r="BX155" s="332" t="str">
        <f t="shared" si="12"/>
        <v>Eau</v>
      </c>
      <c r="BY155" s="332">
        <f t="array" ref="BY155">IF(ChoixRationComplèteCaprins=OUI,0,IFERROR(IF(OR(AND(INDEX(Règles_caprins[Specificite],MATCH(ChoixRationCaprins&amp;$BX155,Règles_caprins[Ration]&amp;Règles_caprins[Aliment],0))="s1",IF($BX155=Spécificité1Caprins,1)),
INDEX(Règles_caprins[Specificite],MATCH(ChoixRationCaprins&amp;$BX155,Règles_caprins[Ration]&amp;Règles_caprins[Aliment],0))="c"),
INDEX(Règles_caprins[Valeur 12 et plus],MATCH(ChoixRationCaprins&amp;$BX155,Règles_caprins[Ration]&amp;Règles_caprins[Aliment],0)),0),0)*TotalChèvres*NbreJoursNourrirCaprins)</f>
        <v>0</v>
      </c>
      <c r="BZ155" s="332">
        <f t="array" ref="BZ155">IF(ChoixRationComplèteCaprins=OUI,0,IFERROR(IF(OR(AND(INDEX(Règles_caprins[Specificite],MATCH(ChoixRationCaprins&amp;$BX155,Règles_caprins[Ration]&amp;Règles_caprins[Aliment],0))="s1",IF($BX155=Spécificité1Caprins,1)),
INDEX(Règles_caprins[Specificite],MATCH(ChoixRationCaprins&amp;$BX155,Règles_caprins[Ration]&amp;Règles_caprins[Aliment],0))="c"),
INDEX(Règles_caprins[Valeur 6-12],MATCH(ChoixRationCaprins&amp;$BX155,Règles_caprins[Ration]&amp;Règles_caprins[Aliment],0)),0),0)*jeune_chèvre_6_12_mois*NbreJoursNourrirCaprins)</f>
        <v>0</v>
      </c>
      <c r="CA155" s="332">
        <f t="array" ref="CA155">IF(ChoixRationComplèteCaprins=OUI,0,IFERROR(IF(OR(AND(INDEX(Règles_caprins[Specificite],MATCH(ChoixRationCaprins&amp;$BX155,Règles_caprins[Ration]&amp;Règles_caprins[Aliment],0))="s1",IF($BX155=Spécificité1Caprins,1)),
INDEX(Règles_caprins[Specificite],MATCH(ChoixRationCaprins&amp;$BX155,Règles_caprins[Ration]&amp;Règles_caprins[Aliment],0))="c"),
INDEX(Règles_caprins[Valeur 3-6],MATCH(ChoixRationCaprins&amp;$BX155,Règles_caprins[Ration]&amp;Règles_caprins[Aliment],0)),0),0)*chevrette_3_6_mois*NbreJoursNourrirCaprins)</f>
        <v>0</v>
      </c>
      <c r="CB155" s="332">
        <f t="array" ref="CB155">IF(ChoixRationComplèteCaprins=OUI,0,IFERROR(IF(OR(AND(INDEX(Règles_caprins[Specificite],MATCH(ChoixRationCaprins&amp;$BX155,Règles_caprins[Ration]&amp;Règles_caprins[Aliment],0))="s1",IF($BX155=Spécificité1Caprins,1)),
INDEX(Règles_caprins[Specificite],MATCH(ChoixRationCaprins&amp;$BX155,Règles_caprins[Ration]&amp;Règles_caprins[Aliment],0))="c"),
INDEX(Règles_caprins[Valeur 0-3],MATCH(ChoixRationCaprins&amp;$BX155,Règles_caprins[Ration]&amp;Règles_caprins[Aliment],0)),0),0)*chevrette_0_3_mois*NbreJoursNourrirCaprins)</f>
        <v>0</v>
      </c>
      <c r="CC155" s="332">
        <f t="shared" si="11"/>
        <v>0</v>
      </c>
      <c r="CH155" s="295"/>
    </row>
    <row r="156" spans="1:86" ht="12.75" customHeight="1" x14ac:dyDescent="0.2">
      <c r="A156" s="355" t="s">
        <v>114</v>
      </c>
      <c r="B156" s="364">
        <v>2</v>
      </c>
      <c r="BB156" s="369" t="s">
        <v>442</v>
      </c>
      <c r="BC156" s="344" t="s">
        <v>42</v>
      </c>
      <c r="BD156" s="344" t="s">
        <v>713</v>
      </c>
      <c r="BE156" s="370">
        <v>4.8</v>
      </c>
      <c r="BF156" s="370">
        <v>4</v>
      </c>
      <c r="BG156" s="370">
        <v>4</v>
      </c>
      <c r="BH156" s="370">
        <v>4</v>
      </c>
      <c r="BI156" s="370">
        <v>2</v>
      </c>
      <c r="BJ156" s="370">
        <v>1.2</v>
      </c>
      <c r="BK156" s="371">
        <v>0</v>
      </c>
      <c r="BL156" s="305"/>
      <c r="BX156" s="332" t="str">
        <f t="shared" si="12"/>
        <v>Epinard</v>
      </c>
      <c r="BY156" s="332">
        <f t="array" ref="BY156">IF(ChoixRationComplèteCaprins=OUI,0,IFERROR(IF(OR(AND(INDEX(Règles_caprins[Specificite],MATCH(ChoixRationCaprins&amp;$BX156,Règles_caprins[Ration]&amp;Règles_caprins[Aliment],0))="s1",IF($BX156=Spécificité1Caprins,1)),
INDEX(Règles_caprins[Specificite],MATCH(ChoixRationCaprins&amp;$BX156,Règles_caprins[Ration]&amp;Règles_caprins[Aliment],0))="c"),
INDEX(Règles_caprins[Valeur 12 et plus],MATCH(ChoixRationCaprins&amp;$BX156,Règles_caprins[Ration]&amp;Règles_caprins[Aliment],0)),0),0)*TotalChèvres*NbreJoursNourrirCaprins)</f>
        <v>0</v>
      </c>
      <c r="BZ156" s="332">
        <f t="array" ref="BZ156">IF(ChoixRationComplèteCaprins=OUI,0,IFERROR(IF(OR(AND(INDEX(Règles_caprins[Specificite],MATCH(ChoixRationCaprins&amp;$BX156,Règles_caprins[Ration]&amp;Règles_caprins[Aliment],0))="s1",IF($BX156=Spécificité1Caprins,1)),
INDEX(Règles_caprins[Specificite],MATCH(ChoixRationCaprins&amp;$BX156,Règles_caprins[Ration]&amp;Règles_caprins[Aliment],0))="c"),
INDEX(Règles_caprins[Valeur 6-12],MATCH(ChoixRationCaprins&amp;$BX156,Règles_caprins[Ration]&amp;Règles_caprins[Aliment],0)),0),0)*jeune_chèvre_6_12_mois*NbreJoursNourrirCaprins)</f>
        <v>0</v>
      </c>
      <c r="CA156" s="332">
        <f t="array" ref="CA156">IF(ChoixRationComplèteCaprins=OUI,0,IFERROR(IF(OR(AND(INDEX(Règles_caprins[Specificite],MATCH(ChoixRationCaprins&amp;$BX156,Règles_caprins[Ration]&amp;Règles_caprins[Aliment],0))="s1",IF($BX156=Spécificité1Caprins,1)),
INDEX(Règles_caprins[Specificite],MATCH(ChoixRationCaprins&amp;$BX156,Règles_caprins[Ration]&amp;Règles_caprins[Aliment],0))="c"),
INDEX(Règles_caprins[Valeur 3-6],MATCH(ChoixRationCaprins&amp;$BX156,Règles_caprins[Ration]&amp;Règles_caprins[Aliment],0)),0),0)*chevrette_3_6_mois*NbreJoursNourrirCaprins)</f>
        <v>0</v>
      </c>
      <c r="CB156" s="332">
        <f t="array" ref="CB156">IF(ChoixRationComplèteCaprins=OUI,0,IFERROR(IF(OR(AND(INDEX(Règles_caprins[Specificite],MATCH(ChoixRationCaprins&amp;$BX156,Règles_caprins[Ration]&amp;Règles_caprins[Aliment],0))="s1",IF($BX156=Spécificité1Caprins,1)),
INDEX(Règles_caprins[Specificite],MATCH(ChoixRationCaprins&amp;$BX156,Règles_caprins[Ration]&amp;Règles_caprins[Aliment],0))="c"),
INDEX(Règles_caprins[Valeur 0-3],MATCH(ChoixRationCaprins&amp;$BX156,Règles_caprins[Ration]&amp;Règles_caprins[Aliment],0)),0),0)*chevrette_0_3_mois*NbreJoursNourrirCaprins)</f>
        <v>0</v>
      </c>
      <c r="CC156" s="332">
        <f t="shared" si="11"/>
        <v>0</v>
      </c>
      <c r="CH156" s="295"/>
    </row>
    <row r="157" spans="1:86" ht="12.75" customHeight="1" x14ac:dyDescent="0.2">
      <c r="A157" s="355" t="s">
        <v>115</v>
      </c>
      <c r="B157" s="364">
        <v>1</v>
      </c>
      <c r="BB157" s="369" t="s">
        <v>442</v>
      </c>
      <c r="BC157" s="344" t="s">
        <v>730</v>
      </c>
      <c r="BD157" s="344" t="s">
        <v>711</v>
      </c>
      <c r="BE157" s="370">
        <v>1</v>
      </c>
      <c r="BF157" s="370">
        <v>0.8</v>
      </c>
      <c r="BG157" s="370">
        <v>0.6</v>
      </c>
      <c r="BH157" s="370">
        <v>0.4</v>
      </c>
      <c r="BI157" s="370">
        <v>0.4</v>
      </c>
      <c r="BJ157" s="370">
        <v>0.4</v>
      </c>
      <c r="BK157" s="371">
        <v>0</v>
      </c>
      <c r="BL157" s="305"/>
      <c r="BX157" s="332" t="str">
        <f t="shared" si="12"/>
        <v>Féverole</v>
      </c>
      <c r="BY157" s="332">
        <f t="array" ref="BY157">IF(ChoixRationComplèteCaprins=OUI,0,IFERROR(IF(OR(AND(INDEX(Règles_caprins[Specificite],MATCH(ChoixRationCaprins&amp;$BX157,Règles_caprins[Ration]&amp;Règles_caprins[Aliment],0))="s1",IF($BX157=Spécificité1Caprins,1)),
INDEX(Règles_caprins[Specificite],MATCH(ChoixRationCaprins&amp;$BX157,Règles_caprins[Ration]&amp;Règles_caprins[Aliment],0))="c"),
INDEX(Règles_caprins[Valeur 12 et plus],MATCH(ChoixRationCaprins&amp;$BX157,Règles_caprins[Ration]&amp;Règles_caprins[Aliment],0)),0),0)*TotalChèvres*NbreJoursNourrirCaprins)</f>
        <v>0</v>
      </c>
      <c r="BZ157" s="332">
        <f t="array" ref="BZ157">IF(ChoixRationComplèteCaprins=OUI,0,IFERROR(IF(OR(AND(INDEX(Règles_caprins[Specificite],MATCH(ChoixRationCaprins&amp;$BX157,Règles_caprins[Ration]&amp;Règles_caprins[Aliment],0))="s1",IF($BX157=Spécificité1Caprins,1)),
INDEX(Règles_caprins[Specificite],MATCH(ChoixRationCaprins&amp;$BX157,Règles_caprins[Ration]&amp;Règles_caprins[Aliment],0))="c"),
INDEX(Règles_caprins[Valeur 6-12],MATCH(ChoixRationCaprins&amp;$BX157,Règles_caprins[Ration]&amp;Règles_caprins[Aliment],0)),0),0)*jeune_chèvre_6_12_mois*NbreJoursNourrirCaprins)</f>
        <v>0</v>
      </c>
      <c r="CA157" s="332">
        <f t="array" ref="CA157">IF(ChoixRationComplèteCaprins=OUI,0,IFERROR(IF(OR(AND(INDEX(Règles_caprins[Specificite],MATCH(ChoixRationCaprins&amp;$BX157,Règles_caprins[Ration]&amp;Règles_caprins[Aliment],0))="s1",IF($BX157=Spécificité1Caprins,1)),
INDEX(Règles_caprins[Specificite],MATCH(ChoixRationCaprins&amp;$BX157,Règles_caprins[Ration]&amp;Règles_caprins[Aliment],0))="c"),
INDEX(Règles_caprins[Valeur 3-6],MATCH(ChoixRationCaprins&amp;$BX157,Règles_caprins[Ration]&amp;Règles_caprins[Aliment],0)),0),0)*chevrette_3_6_mois*NbreJoursNourrirCaprins)</f>
        <v>0</v>
      </c>
      <c r="CB157" s="332">
        <f t="array" ref="CB157">IF(ChoixRationComplèteCaprins=OUI,0,IFERROR(IF(OR(AND(INDEX(Règles_caprins[Specificite],MATCH(ChoixRationCaprins&amp;$BX157,Règles_caprins[Ration]&amp;Règles_caprins[Aliment],0))="s1",IF($BX157=Spécificité1Caprins,1)),
INDEX(Règles_caprins[Specificite],MATCH(ChoixRationCaprins&amp;$BX157,Règles_caprins[Ration]&amp;Règles_caprins[Aliment],0))="c"),
INDEX(Règles_caprins[Valeur 0-3],MATCH(ChoixRationCaprins&amp;$BX157,Règles_caprins[Ration]&amp;Règles_caprins[Aliment],0)),0),0)*chevrette_0_3_mois*NbreJoursNourrirCaprins)</f>
        <v>0</v>
      </c>
      <c r="CC157" s="332">
        <f t="shared" si="11"/>
        <v>0</v>
      </c>
      <c r="CH157" s="295"/>
    </row>
    <row r="158" spans="1:86" ht="12.75" customHeight="1" x14ac:dyDescent="0.2">
      <c r="A158" s="355" t="s">
        <v>116</v>
      </c>
      <c r="B158" s="364">
        <v>0.1</v>
      </c>
      <c r="BB158" s="369" t="s">
        <v>442</v>
      </c>
      <c r="BC158" s="344" t="s">
        <v>882</v>
      </c>
      <c r="BD158" s="344" t="s">
        <v>711</v>
      </c>
      <c r="BE158" s="370">
        <v>0</v>
      </c>
      <c r="BF158" s="370">
        <v>0</v>
      </c>
      <c r="BG158" s="370">
        <v>0</v>
      </c>
      <c r="BH158" s="370">
        <v>0</v>
      </c>
      <c r="BI158" s="370">
        <v>0</v>
      </c>
      <c r="BJ158" s="370">
        <v>0</v>
      </c>
      <c r="BK158" s="371">
        <v>8</v>
      </c>
      <c r="BL158" s="305"/>
      <c r="BX158" s="332" t="str">
        <f t="shared" si="12"/>
        <v>Foin</v>
      </c>
      <c r="BY158" s="332">
        <f t="array" ref="BY158">IF(ChoixRationComplèteCaprins=OUI,0,IFERROR(IF(OR(AND(INDEX(Règles_caprins[Specificite],MATCH(ChoixRationCaprins&amp;$BX158,Règles_caprins[Ration]&amp;Règles_caprins[Aliment],0))="s1",IF($BX158=Spécificité1Caprins,1)),
INDEX(Règles_caprins[Specificite],MATCH(ChoixRationCaprins&amp;$BX158,Règles_caprins[Ration]&amp;Règles_caprins[Aliment],0))="c"),
INDEX(Règles_caprins[Valeur 12 et plus],MATCH(ChoixRationCaprins&amp;$BX158,Règles_caprins[Ration]&amp;Règles_caprins[Aliment],0)),0),0)*TotalChèvres*NbreJoursNourrirCaprins)</f>
        <v>0</v>
      </c>
      <c r="BZ158" s="332">
        <f t="array" ref="BZ158">IF(ChoixRationComplèteCaprins=OUI,0,IFERROR(IF(OR(AND(INDEX(Règles_caprins[Specificite],MATCH(ChoixRationCaprins&amp;$BX158,Règles_caprins[Ration]&amp;Règles_caprins[Aliment],0))="s1",IF($BX158=Spécificité1Caprins,1)),
INDEX(Règles_caprins[Specificite],MATCH(ChoixRationCaprins&amp;$BX158,Règles_caprins[Ration]&amp;Règles_caprins[Aliment],0))="c"),
INDEX(Règles_caprins[Valeur 6-12],MATCH(ChoixRationCaprins&amp;$BX158,Règles_caprins[Ration]&amp;Règles_caprins[Aliment],0)),0),0)*jeune_chèvre_6_12_mois*NbreJoursNourrirCaprins)</f>
        <v>0</v>
      </c>
      <c r="CA158" s="332">
        <f t="array" ref="CA158">IF(ChoixRationComplèteCaprins=OUI,0,IFERROR(IF(OR(AND(INDEX(Règles_caprins[Specificite],MATCH(ChoixRationCaprins&amp;$BX158,Règles_caprins[Ration]&amp;Règles_caprins[Aliment],0))="s1",IF($BX158=Spécificité1Caprins,1)),
INDEX(Règles_caprins[Specificite],MATCH(ChoixRationCaprins&amp;$BX158,Règles_caprins[Ration]&amp;Règles_caprins[Aliment],0))="c"),
INDEX(Règles_caprins[Valeur 3-6],MATCH(ChoixRationCaprins&amp;$BX158,Règles_caprins[Ration]&amp;Règles_caprins[Aliment],0)),0),0)*chevrette_3_6_mois*NbreJoursNourrirCaprins)</f>
        <v>0</v>
      </c>
      <c r="CB158" s="332">
        <f t="array" ref="CB158">IF(ChoixRationComplèteCaprins=OUI,0,IFERROR(IF(OR(AND(INDEX(Règles_caprins[Specificite],MATCH(ChoixRationCaprins&amp;$BX158,Règles_caprins[Ration]&amp;Règles_caprins[Aliment],0))="s1",IF($BX158=Spécificité1Caprins,1)),
INDEX(Règles_caprins[Specificite],MATCH(ChoixRationCaprins&amp;$BX158,Règles_caprins[Ration]&amp;Règles_caprins[Aliment],0))="c"),
INDEX(Règles_caprins[Valeur 0-3],MATCH(ChoixRationCaprins&amp;$BX158,Règles_caprins[Ration]&amp;Règles_caprins[Aliment],0)),0),0)*chevrette_0_3_mois*NbreJoursNourrirCaprins)</f>
        <v>0</v>
      </c>
      <c r="CC158" s="332">
        <f t="shared" si="11"/>
        <v>0</v>
      </c>
      <c r="CH158" s="295"/>
    </row>
    <row r="159" spans="1:86" ht="12.75" customHeight="1" x14ac:dyDescent="0.2">
      <c r="A159" s="355" t="s">
        <v>117</v>
      </c>
      <c r="B159" s="364">
        <v>4</v>
      </c>
      <c r="BB159" s="369" t="s">
        <v>442</v>
      </c>
      <c r="BC159" s="344" t="s">
        <v>444</v>
      </c>
      <c r="BD159" s="344" t="s">
        <v>711</v>
      </c>
      <c r="BE159" s="370">
        <v>200</v>
      </c>
      <c r="BF159" s="370">
        <v>100</v>
      </c>
      <c r="BG159" s="370">
        <v>80</v>
      </c>
      <c r="BH159" s="370">
        <v>60</v>
      </c>
      <c r="BI159" s="370">
        <v>40</v>
      </c>
      <c r="BJ159" s="370">
        <v>28</v>
      </c>
      <c r="BK159" s="371">
        <v>12</v>
      </c>
      <c r="BL159" s="305"/>
      <c r="BX159" s="332" t="str">
        <f t="shared" si="12"/>
        <v>Haricot vert</v>
      </c>
      <c r="BY159" s="332">
        <f t="array" ref="BY159">IF(ChoixRationComplèteCaprins=OUI,0,IFERROR(IF(OR(AND(INDEX(Règles_caprins[Specificite],MATCH(ChoixRationCaprins&amp;$BX159,Règles_caprins[Ration]&amp;Règles_caprins[Aliment],0))="s1",IF($BX159=Spécificité1Caprins,1)),
INDEX(Règles_caprins[Specificite],MATCH(ChoixRationCaprins&amp;$BX159,Règles_caprins[Ration]&amp;Règles_caprins[Aliment],0))="c"),
INDEX(Règles_caprins[Valeur 12 et plus],MATCH(ChoixRationCaprins&amp;$BX159,Règles_caprins[Ration]&amp;Règles_caprins[Aliment],0)),0),0)*TotalChèvres*NbreJoursNourrirCaprins)</f>
        <v>0</v>
      </c>
      <c r="BZ159" s="332">
        <f t="array" ref="BZ159">IF(ChoixRationComplèteCaprins=OUI,0,IFERROR(IF(OR(AND(INDEX(Règles_caprins[Specificite],MATCH(ChoixRationCaprins&amp;$BX159,Règles_caprins[Ration]&amp;Règles_caprins[Aliment],0))="s1",IF($BX159=Spécificité1Caprins,1)),
INDEX(Règles_caprins[Specificite],MATCH(ChoixRationCaprins&amp;$BX159,Règles_caprins[Ration]&amp;Règles_caprins[Aliment],0))="c"),
INDEX(Règles_caprins[Valeur 6-12],MATCH(ChoixRationCaprins&amp;$BX159,Règles_caprins[Ration]&amp;Règles_caprins[Aliment],0)),0),0)*jeune_chèvre_6_12_mois*NbreJoursNourrirCaprins)</f>
        <v>0</v>
      </c>
      <c r="CA159" s="332">
        <f t="array" ref="CA159">IF(ChoixRationComplèteCaprins=OUI,0,IFERROR(IF(OR(AND(INDEX(Règles_caprins[Specificite],MATCH(ChoixRationCaprins&amp;$BX159,Règles_caprins[Ration]&amp;Règles_caprins[Aliment],0))="s1",IF($BX159=Spécificité1Caprins,1)),
INDEX(Règles_caprins[Specificite],MATCH(ChoixRationCaprins&amp;$BX159,Règles_caprins[Ration]&amp;Règles_caprins[Aliment],0))="c"),
INDEX(Règles_caprins[Valeur 3-6],MATCH(ChoixRationCaprins&amp;$BX159,Règles_caprins[Ration]&amp;Règles_caprins[Aliment],0)),0),0)*chevrette_3_6_mois*NbreJoursNourrirCaprins)</f>
        <v>0</v>
      </c>
      <c r="CB159" s="332">
        <f t="array" ref="CB159">IF(ChoixRationComplèteCaprins=OUI,0,IFERROR(IF(OR(AND(INDEX(Règles_caprins[Specificite],MATCH(ChoixRationCaprins&amp;$BX159,Règles_caprins[Ration]&amp;Règles_caprins[Aliment],0))="s1",IF($BX159=Spécificité1Caprins,1)),
INDEX(Règles_caprins[Specificite],MATCH(ChoixRationCaprins&amp;$BX159,Règles_caprins[Ration]&amp;Règles_caprins[Aliment],0))="c"),
INDEX(Règles_caprins[Valeur 0-3],MATCH(ChoixRationCaprins&amp;$BX159,Règles_caprins[Ration]&amp;Règles_caprins[Aliment],0)),0),0)*chevrette_0_3_mois*NbreJoursNourrirCaprins)</f>
        <v>0</v>
      </c>
      <c r="CC159" s="332">
        <f t="shared" si="11"/>
        <v>0</v>
      </c>
      <c r="CH159" s="295"/>
    </row>
    <row r="160" spans="1:86" ht="12.75" customHeight="1" x14ac:dyDescent="0.2">
      <c r="A160" s="355" t="s">
        <v>118</v>
      </c>
      <c r="B160" s="364">
        <v>4</v>
      </c>
      <c r="BB160" s="369" t="s">
        <v>742</v>
      </c>
      <c r="BC160" s="344" t="s">
        <v>434</v>
      </c>
      <c r="BD160" s="344" t="s">
        <v>735</v>
      </c>
      <c r="BE160" s="370">
        <v>83</v>
      </c>
      <c r="BF160" s="370">
        <v>71</v>
      </c>
      <c r="BG160" s="370">
        <v>55</v>
      </c>
      <c r="BH160" s="370">
        <v>42</v>
      </c>
      <c r="BI160" s="370">
        <v>28</v>
      </c>
      <c r="BJ160" s="370">
        <v>14</v>
      </c>
      <c r="BK160" s="371">
        <v>0</v>
      </c>
      <c r="BL160" s="305"/>
      <c r="BX160" s="332" t="str">
        <f t="shared" si="12"/>
        <v>Lentille</v>
      </c>
      <c r="BY160" s="332">
        <f t="array" ref="BY160">IF(ChoixRationComplèteCaprins=OUI,0,IFERROR(IF(OR(AND(INDEX(Règles_caprins[Specificite],MATCH(ChoixRationCaprins&amp;$BX160,Règles_caprins[Ration]&amp;Règles_caprins[Aliment],0))="s1",IF($BX160=Spécificité1Caprins,1)),
INDEX(Règles_caprins[Specificite],MATCH(ChoixRationCaprins&amp;$BX160,Règles_caprins[Ration]&amp;Règles_caprins[Aliment],0))="c"),
INDEX(Règles_caprins[Valeur 12 et plus],MATCH(ChoixRationCaprins&amp;$BX160,Règles_caprins[Ration]&amp;Règles_caprins[Aliment],0)),0),0)*TotalChèvres*NbreJoursNourrirCaprins)</f>
        <v>0</v>
      </c>
      <c r="BZ160" s="332">
        <f t="array" ref="BZ160">IF(ChoixRationComplèteCaprins=OUI,0,IFERROR(IF(OR(AND(INDEX(Règles_caprins[Specificite],MATCH(ChoixRationCaprins&amp;$BX160,Règles_caprins[Ration]&amp;Règles_caprins[Aliment],0))="s1",IF($BX160=Spécificité1Caprins,1)),
INDEX(Règles_caprins[Specificite],MATCH(ChoixRationCaprins&amp;$BX160,Règles_caprins[Ration]&amp;Règles_caprins[Aliment],0))="c"),
INDEX(Règles_caprins[Valeur 6-12],MATCH(ChoixRationCaprins&amp;$BX160,Règles_caprins[Ration]&amp;Règles_caprins[Aliment],0)),0),0)*jeune_chèvre_6_12_mois*NbreJoursNourrirCaprins)</f>
        <v>0</v>
      </c>
      <c r="CA160" s="332">
        <f t="array" ref="CA160">IF(ChoixRationComplèteCaprins=OUI,0,IFERROR(IF(OR(AND(INDEX(Règles_caprins[Specificite],MATCH(ChoixRationCaprins&amp;$BX160,Règles_caprins[Ration]&amp;Règles_caprins[Aliment],0))="s1",IF($BX160=Spécificité1Caprins,1)),
INDEX(Règles_caprins[Specificite],MATCH(ChoixRationCaprins&amp;$BX160,Règles_caprins[Ration]&amp;Règles_caprins[Aliment],0))="c"),
INDEX(Règles_caprins[Valeur 3-6],MATCH(ChoixRationCaprins&amp;$BX160,Règles_caprins[Ration]&amp;Règles_caprins[Aliment],0)),0),0)*chevrette_3_6_mois*NbreJoursNourrirCaprins)</f>
        <v>0</v>
      </c>
      <c r="CB160" s="332">
        <f t="array" ref="CB160">IF(ChoixRationComplèteCaprins=OUI,0,IFERROR(IF(OR(AND(INDEX(Règles_caprins[Specificite],MATCH(ChoixRationCaprins&amp;$BX160,Règles_caprins[Ration]&amp;Règles_caprins[Aliment],0))="s1",IF($BX160=Spécificité1Caprins,1)),
INDEX(Règles_caprins[Specificite],MATCH(ChoixRationCaprins&amp;$BX160,Règles_caprins[Ration]&amp;Règles_caprins[Aliment],0))="c"),
INDEX(Règles_caprins[Valeur 0-3],MATCH(ChoixRationCaprins&amp;$BX160,Règles_caprins[Ration]&amp;Règles_caprins[Aliment],0)),0),0)*chevrette_0_3_mois*NbreJoursNourrirCaprins)</f>
        <v>0</v>
      </c>
      <c r="CC160" s="332">
        <f t="shared" si="11"/>
        <v>0</v>
      </c>
      <c r="CH160" s="295"/>
    </row>
    <row r="161" spans="1:86" ht="12.75" customHeight="1" x14ac:dyDescent="0.2">
      <c r="A161" s="355" t="s">
        <v>161</v>
      </c>
      <c r="B161" s="364">
        <v>5.0000000000000001E-3</v>
      </c>
      <c r="BB161" s="369" t="s">
        <v>742</v>
      </c>
      <c r="BC161" s="344" t="s">
        <v>190</v>
      </c>
      <c r="BD161" s="344" t="s">
        <v>711</v>
      </c>
      <c r="BE161" s="370">
        <v>30</v>
      </c>
      <c r="BF161" s="370">
        <v>27</v>
      </c>
      <c r="BG161" s="370">
        <v>24</v>
      </c>
      <c r="BH161" s="370">
        <v>21</v>
      </c>
      <c r="BI161" s="370">
        <v>18</v>
      </c>
      <c r="BJ161" s="370">
        <v>15</v>
      </c>
      <c r="BK161" s="371">
        <v>0</v>
      </c>
      <c r="BL161" s="305"/>
      <c r="BX161" s="332" t="str">
        <f t="shared" si="12"/>
        <v>Maïs ensilé</v>
      </c>
      <c r="BY161" s="332">
        <f t="array" ref="BY161">IF(ChoixRationComplèteCaprins=OUI,0,IFERROR(IF(OR(AND(INDEX(Règles_caprins[Specificite],MATCH(ChoixRationCaprins&amp;$BX161,Règles_caprins[Ration]&amp;Règles_caprins[Aliment],0))="s1",IF($BX161=Spécificité1Caprins,1)),
INDEX(Règles_caprins[Specificite],MATCH(ChoixRationCaprins&amp;$BX161,Règles_caprins[Ration]&amp;Règles_caprins[Aliment],0))="c"),
INDEX(Règles_caprins[Valeur 12 et plus],MATCH(ChoixRationCaprins&amp;$BX161,Règles_caprins[Ration]&amp;Règles_caprins[Aliment],0)),0),0)*TotalChèvres*NbreJoursNourrirCaprins)</f>
        <v>0</v>
      </c>
      <c r="BZ161" s="332">
        <f t="array" ref="BZ161">IF(ChoixRationComplèteCaprins=OUI,0,IFERROR(IF(OR(AND(INDEX(Règles_caprins[Specificite],MATCH(ChoixRationCaprins&amp;$BX161,Règles_caprins[Ration]&amp;Règles_caprins[Aliment],0))="s1",IF($BX161=Spécificité1Caprins,1)),
INDEX(Règles_caprins[Specificite],MATCH(ChoixRationCaprins&amp;$BX161,Règles_caprins[Ration]&amp;Règles_caprins[Aliment],0))="c"),
INDEX(Règles_caprins[Valeur 6-12],MATCH(ChoixRationCaprins&amp;$BX161,Règles_caprins[Ration]&amp;Règles_caprins[Aliment],0)),0),0)*jeune_chèvre_6_12_mois*NbreJoursNourrirCaprins)</f>
        <v>0</v>
      </c>
      <c r="CA161" s="332">
        <f t="array" ref="CA161">IF(ChoixRationComplèteCaprins=OUI,0,IFERROR(IF(OR(AND(INDEX(Règles_caprins[Specificite],MATCH(ChoixRationCaprins&amp;$BX161,Règles_caprins[Ration]&amp;Règles_caprins[Aliment],0))="s1",IF($BX161=Spécificité1Caprins,1)),
INDEX(Règles_caprins[Specificite],MATCH(ChoixRationCaprins&amp;$BX161,Règles_caprins[Ration]&amp;Règles_caprins[Aliment],0))="c"),
INDEX(Règles_caprins[Valeur 3-6],MATCH(ChoixRationCaprins&amp;$BX161,Règles_caprins[Ration]&amp;Règles_caprins[Aliment],0)),0),0)*chevrette_3_6_mois*NbreJoursNourrirCaprins)</f>
        <v>0</v>
      </c>
      <c r="CB161" s="332">
        <f t="array" ref="CB161">IF(ChoixRationComplèteCaprins=OUI,0,IFERROR(IF(OR(AND(INDEX(Règles_caprins[Specificite],MATCH(ChoixRationCaprins&amp;$BX161,Règles_caprins[Ration]&amp;Règles_caprins[Aliment],0))="s1",IF($BX161=Spécificité1Caprins,1)),
INDEX(Règles_caprins[Specificite],MATCH(ChoixRationCaprins&amp;$BX161,Règles_caprins[Ration]&amp;Règles_caprins[Aliment],0))="c"),
INDEX(Règles_caprins[Valeur 0-3],MATCH(ChoixRationCaprins&amp;$BX161,Règles_caprins[Ration]&amp;Règles_caprins[Aliment],0)),0),0)*chevrette_0_3_mois*NbreJoursNourrirCaprins)</f>
        <v>0</v>
      </c>
      <c r="CC161" s="332">
        <f t="shared" si="11"/>
        <v>0</v>
      </c>
      <c r="CH161" s="295"/>
    </row>
    <row r="162" spans="1:86" ht="12.75" customHeight="1" x14ac:dyDescent="0.2">
      <c r="A162" s="355" t="s">
        <v>162</v>
      </c>
      <c r="B162" s="364">
        <v>5.0000000000000001E-3</v>
      </c>
      <c r="BB162" s="369" t="s">
        <v>742</v>
      </c>
      <c r="BC162" s="344" t="s">
        <v>382</v>
      </c>
      <c r="BD162" s="344" t="s">
        <v>711</v>
      </c>
      <c r="BE162" s="370">
        <v>30</v>
      </c>
      <c r="BF162" s="370">
        <v>27</v>
      </c>
      <c r="BG162" s="370">
        <v>24</v>
      </c>
      <c r="BH162" s="370">
        <v>21</v>
      </c>
      <c r="BI162" s="370">
        <v>18</v>
      </c>
      <c r="BJ162" s="370">
        <v>15</v>
      </c>
      <c r="BK162" s="371">
        <v>0</v>
      </c>
      <c r="BL162" s="305"/>
      <c r="BX162" s="332" t="str">
        <f t="shared" si="12"/>
        <v>Maïs grain</v>
      </c>
      <c r="BY162" s="332">
        <f t="array" ref="BY162">IF(ChoixRationComplèteCaprins=OUI,0,IFERROR(IF(OR(AND(INDEX(Règles_caprins[Specificite],MATCH(ChoixRationCaprins&amp;$BX162,Règles_caprins[Ration]&amp;Règles_caprins[Aliment],0))="s1",IF($BX162=Spécificité1Caprins,1)),
INDEX(Règles_caprins[Specificite],MATCH(ChoixRationCaprins&amp;$BX162,Règles_caprins[Ration]&amp;Règles_caprins[Aliment],0))="c"),
INDEX(Règles_caprins[Valeur 12 et plus],MATCH(ChoixRationCaprins&amp;$BX162,Règles_caprins[Ration]&amp;Règles_caprins[Aliment],0)),0),0)*TotalChèvres*NbreJoursNourrirCaprins)</f>
        <v>0</v>
      </c>
      <c r="BZ162" s="332">
        <f t="array" ref="BZ162">IF(ChoixRationComplèteCaprins=OUI,0,IFERROR(IF(OR(AND(INDEX(Règles_caprins[Specificite],MATCH(ChoixRationCaprins&amp;$BX162,Règles_caprins[Ration]&amp;Règles_caprins[Aliment],0))="s1",IF($BX162=Spécificité1Caprins,1)),
INDEX(Règles_caprins[Specificite],MATCH(ChoixRationCaprins&amp;$BX162,Règles_caprins[Ration]&amp;Règles_caprins[Aliment],0))="c"),
INDEX(Règles_caprins[Valeur 6-12],MATCH(ChoixRationCaprins&amp;$BX162,Règles_caprins[Ration]&amp;Règles_caprins[Aliment],0)),0),0)*jeune_chèvre_6_12_mois*NbreJoursNourrirCaprins)</f>
        <v>0</v>
      </c>
      <c r="CA162" s="332">
        <f t="array" ref="CA162">IF(ChoixRationComplèteCaprins=OUI,0,IFERROR(IF(OR(AND(INDEX(Règles_caprins[Specificite],MATCH(ChoixRationCaprins&amp;$BX162,Règles_caprins[Ration]&amp;Règles_caprins[Aliment],0))="s1",IF($BX162=Spécificité1Caprins,1)),
INDEX(Règles_caprins[Specificite],MATCH(ChoixRationCaprins&amp;$BX162,Règles_caprins[Ration]&amp;Règles_caprins[Aliment],0))="c"),
INDEX(Règles_caprins[Valeur 3-6],MATCH(ChoixRationCaprins&amp;$BX162,Règles_caprins[Ration]&amp;Règles_caprins[Aliment],0)),0),0)*chevrette_3_6_mois*NbreJoursNourrirCaprins)</f>
        <v>0</v>
      </c>
      <c r="CB162" s="332">
        <f t="array" ref="CB162">IF(ChoixRationComplèteCaprins=OUI,0,IFERROR(IF(OR(AND(INDEX(Règles_caprins[Specificite],MATCH(ChoixRationCaprins&amp;$BX162,Règles_caprins[Ration]&amp;Règles_caprins[Aliment],0))="s1",IF($BX162=Spécificité1Caprins,1)),
INDEX(Règles_caprins[Specificite],MATCH(ChoixRationCaprins&amp;$BX162,Règles_caprins[Ration]&amp;Règles_caprins[Aliment],0))="c"),
INDEX(Règles_caprins[Valeur 0-3],MATCH(ChoixRationCaprins&amp;$BX162,Règles_caprins[Ration]&amp;Règles_caprins[Aliment],0)),0),0)*chevrette_0_3_mois*NbreJoursNourrirCaprins)</f>
        <v>0</v>
      </c>
      <c r="CC162" s="332">
        <f t="shared" si="11"/>
        <v>0</v>
      </c>
      <c r="CH162" s="295"/>
    </row>
    <row r="163" spans="1:86" ht="12.75" customHeight="1" x14ac:dyDescent="0.2">
      <c r="A163" s="355" t="s">
        <v>46</v>
      </c>
      <c r="B163" s="364">
        <v>5.0000000000000001E-3</v>
      </c>
      <c r="BB163" s="369" t="s">
        <v>742</v>
      </c>
      <c r="BC163" s="344" t="s">
        <v>441</v>
      </c>
      <c r="BD163" s="344" t="s">
        <v>711</v>
      </c>
      <c r="BE163" s="370">
        <v>10</v>
      </c>
      <c r="BF163" s="370">
        <v>9</v>
      </c>
      <c r="BG163" s="370">
        <v>8</v>
      </c>
      <c r="BH163" s="370">
        <v>7</v>
      </c>
      <c r="BI163" s="370">
        <v>6</v>
      </c>
      <c r="BJ163" s="370">
        <v>5</v>
      </c>
      <c r="BK163" s="371">
        <v>0</v>
      </c>
      <c r="BL163" s="305"/>
      <c r="BX163" s="332" t="str">
        <f t="shared" si="12"/>
        <v>Minéraux + vitamines</v>
      </c>
      <c r="BY163" s="332">
        <f t="array" ref="BY163">IF(ChoixRationComplèteCaprins=OUI,0,IFERROR(IF(OR(AND(INDEX(Règles_caprins[Specificite],MATCH(ChoixRationCaprins&amp;$BX163,Règles_caprins[Ration]&amp;Règles_caprins[Aliment],0))="s1",IF($BX163=Spécificité1Caprins,1)),
INDEX(Règles_caprins[Specificite],MATCH(ChoixRationCaprins&amp;$BX163,Règles_caprins[Ration]&amp;Règles_caprins[Aliment],0))="c"),
INDEX(Règles_caprins[Valeur 12 et plus],MATCH(ChoixRationCaprins&amp;$BX163,Règles_caprins[Ration]&amp;Règles_caprins[Aliment],0)),0),0)*TotalChèvres*NbreJoursNourrirCaprins)</f>
        <v>0</v>
      </c>
      <c r="BZ163" s="332">
        <f t="array" ref="BZ163">IF(ChoixRationComplèteCaprins=OUI,0,IFERROR(IF(OR(AND(INDEX(Règles_caprins[Specificite],MATCH(ChoixRationCaprins&amp;$BX163,Règles_caprins[Ration]&amp;Règles_caprins[Aliment],0))="s1",IF($BX163=Spécificité1Caprins,1)),
INDEX(Règles_caprins[Specificite],MATCH(ChoixRationCaprins&amp;$BX163,Règles_caprins[Ration]&amp;Règles_caprins[Aliment],0))="c"),
INDEX(Règles_caprins[Valeur 6-12],MATCH(ChoixRationCaprins&amp;$BX163,Règles_caprins[Ration]&amp;Règles_caprins[Aliment],0)),0),0)*jeune_chèvre_6_12_mois*NbreJoursNourrirCaprins)</f>
        <v>0</v>
      </c>
      <c r="CA163" s="332">
        <f t="array" ref="CA163">IF(ChoixRationComplèteCaprins=OUI,0,IFERROR(IF(OR(AND(INDEX(Règles_caprins[Specificite],MATCH(ChoixRationCaprins&amp;$BX163,Règles_caprins[Ration]&amp;Règles_caprins[Aliment],0))="s1",IF($BX163=Spécificité1Caprins,1)),
INDEX(Règles_caprins[Specificite],MATCH(ChoixRationCaprins&amp;$BX163,Règles_caprins[Ration]&amp;Règles_caprins[Aliment],0))="c"),
INDEX(Règles_caprins[Valeur 3-6],MATCH(ChoixRationCaprins&amp;$BX163,Règles_caprins[Ration]&amp;Règles_caprins[Aliment],0)),0),0)*chevrette_3_6_mois*NbreJoursNourrirCaprins)</f>
        <v>0</v>
      </c>
      <c r="CB163" s="332">
        <f t="array" ref="CB163">IF(ChoixRationComplèteCaprins=OUI,0,IFERROR(IF(OR(AND(INDEX(Règles_caprins[Specificite],MATCH(ChoixRationCaprins&amp;$BX163,Règles_caprins[Ration]&amp;Règles_caprins[Aliment],0))="s1",IF($BX163=Spécificité1Caprins,1)),
INDEX(Règles_caprins[Specificite],MATCH(ChoixRationCaprins&amp;$BX163,Règles_caprins[Ration]&amp;Règles_caprins[Aliment],0))="c"),
INDEX(Règles_caprins[Valeur 0-3],MATCH(ChoixRationCaprins&amp;$BX163,Règles_caprins[Ration]&amp;Règles_caprins[Aliment],0)),0),0)*chevrette_0_3_mois*NbreJoursNourrirCaprins)</f>
        <v>0</v>
      </c>
      <c r="CC163" s="332">
        <f t="shared" si="11"/>
        <v>0</v>
      </c>
      <c r="CH163" s="295"/>
    </row>
    <row r="164" spans="1:86" ht="12.75" customHeight="1" x14ac:dyDescent="0.2">
      <c r="A164" s="355" t="s">
        <v>0</v>
      </c>
      <c r="B164" s="364">
        <v>5.0000000000000001E-3</v>
      </c>
      <c r="BB164" s="369" t="s">
        <v>742</v>
      </c>
      <c r="BC164" s="344" t="s">
        <v>383</v>
      </c>
      <c r="BD164" s="344" t="s">
        <v>712</v>
      </c>
      <c r="BE164" s="370">
        <v>7.2</v>
      </c>
      <c r="BF164" s="370">
        <v>6</v>
      </c>
      <c r="BG164" s="370">
        <v>4</v>
      </c>
      <c r="BH164" s="370">
        <v>2</v>
      </c>
      <c r="BI164" s="370">
        <v>1.2</v>
      </c>
      <c r="BJ164" s="370">
        <v>0.6</v>
      </c>
      <c r="BK164" s="371">
        <v>0</v>
      </c>
      <c r="BL164" s="305"/>
      <c r="BX164" s="332" t="str">
        <f t="shared" si="12"/>
        <v>Orge</v>
      </c>
      <c r="BY164" s="332">
        <f t="array" ref="BY164">IF(ChoixRationComplèteCaprins=OUI,0,IFERROR(IF(OR(AND(INDEX(Règles_caprins[Specificite],MATCH(ChoixRationCaprins&amp;$BX164,Règles_caprins[Ration]&amp;Règles_caprins[Aliment],0))="s1",IF($BX164=Spécificité1Caprins,1)),
INDEX(Règles_caprins[Specificite],MATCH(ChoixRationCaprins&amp;$BX164,Règles_caprins[Ration]&amp;Règles_caprins[Aliment],0))="c"),
INDEX(Règles_caprins[Valeur 12 et plus],MATCH(ChoixRationCaprins&amp;$BX164,Règles_caprins[Ration]&amp;Règles_caprins[Aliment],0)),0),0)*TotalChèvres*NbreJoursNourrirCaprins)</f>
        <v>0</v>
      </c>
      <c r="BZ164" s="332">
        <f t="array" ref="BZ164">IF(ChoixRationComplèteCaprins=OUI,0,IFERROR(IF(OR(AND(INDEX(Règles_caprins[Specificite],MATCH(ChoixRationCaprins&amp;$BX164,Règles_caprins[Ration]&amp;Règles_caprins[Aliment],0))="s1",IF($BX164=Spécificité1Caprins,1)),
INDEX(Règles_caprins[Specificite],MATCH(ChoixRationCaprins&amp;$BX164,Règles_caprins[Ration]&amp;Règles_caprins[Aliment],0))="c"),
INDEX(Règles_caprins[Valeur 6-12],MATCH(ChoixRationCaprins&amp;$BX164,Règles_caprins[Ration]&amp;Règles_caprins[Aliment],0)),0),0)*jeune_chèvre_6_12_mois*NbreJoursNourrirCaprins)</f>
        <v>0</v>
      </c>
      <c r="CA164" s="332">
        <f t="array" ref="CA164">IF(ChoixRationComplèteCaprins=OUI,0,IFERROR(IF(OR(AND(INDEX(Règles_caprins[Specificite],MATCH(ChoixRationCaprins&amp;$BX164,Règles_caprins[Ration]&amp;Règles_caprins[Aliment],0))="s1",IF($BX164=Spécificité1Caprins,1)),
INDEX(Règles_caprins[Specificite],MATCH(ChoixRationCaprins&amp;$BX164,Règles_caprins[Ration]&amp;Règles_caprins[Aliment],0))="c"),
INDEX(Règles_caprins[Valeur 3-6],MATCH(ChoixRationCaprins&amp;$BX164,Règles_caprins[Ration]&amp;Règles_caprins[Aliment],0)),0),0)*chevrette_3_6_mois*NbreJoursNourrirCaprins)</f>
        <v>0</v>
      </c>
      <c r="CB164" s="332">
        <f t="array" ref="CB164">IF(ChoixRationComplèteCaprins=OUI,0,IFERROR(IF(OR(AND(INDEX(Règles_caprins[Specificite],MATCH(ChoixRationCaprins&amp;$BX164,Règles_caprins[Ration]&amp;Règles_caprins[Aliment],0))="s1",IF($BX164=Spécificité1Caprins,1)),
INDEX(Règles_caprins[Specificite],MATCH(ChoixRationCaprins&amp;$BX164,Règles_caprins[Ration]&amp;Règles_caprins[Aliment],0))="c"),
INDEX(Règles_caprins[Valeur 0-3],MATCH(ChoixRationCaprins&amp;$BX164,Règles_caprins[Ration]&amp;Règles_caprins[Aliment],0)),0),0)*chevrette_0_3_mois*NbreJoursNourrirCaprins)</f>
        <v>0</v>
      </c>
      <c r="CC164" s="332">
        <f t="shared" si="11"/>
        <v>0</v>
      </c>
      <c r="CH164" s="295"/>
    </row>
    <row r="165" spans="1:86" ht="12.75" customHeight="1" x14ac:dyDescent="0.2">
      <c r="A165" s="355" t="s">
        <v>1</v>
      </c>
      <c r="B165" s="364">
        <v>5.0000000000000001E-3</v>
      </c>
      <c r="BB165" s="369" t="s">
        <v>742</v>
      </c>
      <c r="BC165" s="344" t="s">
        <v>160</v>
      </c>
      <c r="BD165" s="344" t="s">
        <v>712</v>
      </c>
      <c r="BE165" s="370">
        <v>7.2</v>
      </c>
      <c r="BF165" s="370">
        <v>6</v>
      </c>
      <c r="BG165" s="370">
        <v>4</v>
      </c>
      <c r="BH165" s="370">
        <v>2</v>
      </c>
      <c r="BI165" s="370">
        <v>1.2</v>
      </c>
      <c r="BJ165" s="370">
        <v>0.6</v>
      </c>
      <c r="BK165" s="371">
        <v>0</v>
      </c>
      <c r="BL165" s="305"/>
      <c r="BX165" s="332" t="str">
        <f t="shared" si="12"/>
        <v>Paille</v>
      </c>
      <c r="BY165" s="332">
        <f t="array" ref="BY165">IF(ChoixRationComplèteCaprins=OUI,0,IFERROR(IF(OR(AND(INDEX(Règles_caprins[Specificite],MATCH(ChoixRationCaprins&amp;$BX165,Règles_caprins[Ration]&amp;Règles_caprins[Aliment],0))="s1",IF($BX165=Spécificité1Caprins,1)),
INDEX(Règles_caprins[Specificite],MATCH(ChoixRationCaprins&amp;$BX165,Règles_caprins[Ration]&amp;Règles_caprins[Aliment],0))="c"),
INDEX(Règles_caprins[Valeur 12 et plus],MATCH(ChoixRationCaprins&amp;$BX165,Règles_caprins[Ration]&amp;Règles_caprins[Aliment],0)),0),0)*TotalChèvres*NbreJoursNourrirCaprins)</f>
        <v>0</v>
      </c>
      <c r="BZ165" s="332">
        <f t="array" ref="BZ165">IF(ChoixRationComplèteCaprins=OUI,0,IFERROR(IF(OR(AND(INDEX(Règles_caprins[Specificite],MATCH(ChoixRationCaprins&amp;$BX165,Règles_caprins[Ration]&amp;Règles_caprins[Aliment],0))="s1",IF($BX165=Spécificité1Caprins,1)),
INDEX(Règles_caprins[Specificite],MATCH(ChoixRationCaprins&amp;$BX165,Règles_caprins[Ration]&amp;Règles_caprins[Aliment],0))="c"),
INDEX(Règles_caprins[Valeur 6-12],MATCH(ChoixRationCaprins&amp;$BX165,Règles_caprins[Ration]&amp;Règles_caprins[Aliment],0)),0),0)*jeune_chèvre_6_12_mois*NbreJoursNourrirCaprins)</f>
        <v>0</v>
      </c>
      <c r="CA165" s="332">
        <f t="array" ref="CA165">IF(ChoixRationComplèteCaprins=OUI,0,IFERROR(IF(OR(AND(INDEX(Règles_caprins[Specificite],MATCH(ChoixRationCaprins&amp;$BX165,Règles_caprins[Ration]&amp;Règles_caprins[Aliment],0))="s1",IF($BX165=Spécificité1Caprins,1)),
INDEX(Règles_caprins[Specificite],MATCH(ChoixRationCaprins&amp;$BX165,Règles_caprins[Ration]&amp;Règles_caprins[Aliment],0))="c"),
INDEX(Règles_caprins[Valeur 3-6],MATCH(ChoixRationCaprins&amp;$BX165,Règles_caprins[Ration]&amp;Règles_caprins[Aliment],0)),0),0)*chevrette_3_6_mois*NbreJoursNourrirCaprins)</f>
        <v>0</v>
      </c>
      <c r="CB165" s="332">
        <f t="array" ref="CB165">IF(ChoixRationComplèteCaprins=OUI,0,IFERROR(IF(OR(AND(INDEX(Règles_caprins[Specificite],MATCH(ChoixRationCaprins&amp;$BX165,Règles_caprins[Ration]&amp;Règles_caprins[Aliment],0))="s1",IF($BX165=Spécificité1Caprins,1)),
INDEX(Règles_caprins[Specificite],MATCH(ChoixRationCaprins&amp;$BX165,Règles_caprins[Ration]&amp;Règles_caprins[Aliment],0))="c"),
INDEX(Règles_caprins[Valeur 0-3],MATCH(ChoixRationCaprins&amp;$BX165,Règles_caprins[Ration]&amp;Règles_caprins[Aliment],0)),0),0)*chevrette_0_3_mois*NbreJoursNourrirCaprins)</f>
        <v>0</v>
      </c>
      <c r="CC165" s="332">
        <f t="shared" si="11"/>
        <v>0</v>
      </c>
      <c r="CH165" s="295"/>
    </row>
    <row r="166" spans="1:86" ht="12.75" customHeight="1" x14ac:dyDescent="0.2">
      <c r="A166" s="355" t="s">
        <v>337</v>
      </c>
      <c r="B166" s="364">
        <v>0.01</v>
      </c>
      <c r="BB166" s="369" t="s">
        <v>742</v>
      </c>
      <c r="BC166" s="344" t="s">
        <v>47</v>
      </c>
      <c r="BD166" s="344" t="s">
        <v>712</v>
      </c>
      <c r="BE166" s="370">
        <v>7.2</v>
      </c>
      <c r="BF166" s="370">
        <v>6</v>
      </c>
      <c r="BG166" s="370">
        <v>4</v>
      </c>
      <c r="BH166" s="370">
        <v>2</v>
      </c>
      <c r="BI166" s="370">
        <v>1.2</v>
      </c>
      <c r="BJ166" s="370">
        <v>0.6</v>
      </c>
      <c r="BK166" s="371">
        <v>0</v>
      </c>
      <c r="BL166" s="305"/>
      <c r="BX166" s="332" t="str">
        <f t="shared" si="12"/>
        <v>Pois</v>
      </c>
      <c r="BY166" s="332">
        <f t="array" ref="BY166">IF(ChoixRationComplèteCaprins=OUI,0,IFERROR(IF(OR(AND(INDEX(Règles_caprins[Specificite],MATCH(ChoixRationCaprins&amp;$BX166,Règles_caprins[Ration]&amp;Règles_caprins[Aliment],0))="s1",IF($BX166=Spécificité1Caprins,1)),
INDEX(Règles_caprins[Specificite],MATCH(ChoixRationCaprins&amp;$BX166,Règles_caprins[Ration]&amp;Règles_caprins[Aliment],0))="c"),
INDEX(Règles_caprins[Valeur 12 et plus],MATCH(ChoixRationCaprins&amp;$BX166,Règles_caprins[Ration]&amp;Règles_caprins[Aliment],0)),0),0)*TotalChèvres*NbreJoursNourrirCaprins)</f>
        <v>0</v>
      </c>
      <c r="BZ166" s="332">
        <f t="array" ref="BZ166">IF(ChoixRationComplèteCaprins=OUI,0,IFERROR(IF(OR(AND(INDEX(Règles_caprins[Specificite],MATCH(ChoixRationCaprins&amp;$BX166,Règles_caprins[Ration]&amp;Règles_caprins[Aliment],0))="s1",IF($BX166=Spécificité1Caprins,1)),
INDEX(Règles_caprins[Specificite],MATCH(ChoixRationCaprins&amp;$BX166,Règles_caprins[Ration]&amp;Règles_caprins[Aliment],0))="c"),
INDEX(Règles_caprins[Valeur 6-12],MATCH(ChoixRationCaprins&amp;$BX166,Règles_caprins[Ration]&amp;Règles_caprins[Aliment],0)),0),0)*jeune_chèvre_6_12_mois*NbreJoursNourrirCaprins)</f>
        <v>0</v>
      </c>
      <c r="CA166" s="332">
        <f t="array" ref="CA166">IF(ChoixRationComplèteCaprins=OUI,0,IFERROR(IF(OR(AND(INDEX(Règles_caprins[Specificite],MATCH(ChoixRationCaprins&amp;$BX166,Règles_caprins[Ration]&amp;Règles_caprins[Aliment],0))="s1",IF($BX166=Spécificité1Caprins,1)),
INDEX(Règles_caprins[Specificite],MATCH(ChoixRationCaprins&amp;$BX166,Règles_caprins[Ration]&amp;Règles_caprins[Aliment],0))="c"),
INDEX(Règles_caprins[Valeur 3-6],MATCH(ChoixRationCaprins&amp;$BX166,Règles_caprins[Ration]&amp;Règles_caprins[Aliment],0)),0),0)*chevrette_3_6_mois*NbreJoursNourrirCaprins)</f>
        <v>0</v>
      </c>
      <c r="CB166" s="332">
        <f t="array" ref="CB166">IF(ChoixRationComplèteCaprins=OUI,0,IFERROR(IF(OR(AND(INDEX(Règles_caprins[Specificite],MATCH(ChoixRationCaprins&amp;$BX166,Règles_caprins[Ration]&amp;Règles_caprins[Aliment],0))="s1",IF($BX166=Spécificité1Caprins,1)),
INDEX(Règles_caprins[Specificite],MATCH(ChoixRationCaprins&amp;$BX166,Règles_caprins[Ration]&amp;Règles_caprins[Aliment],0))="c"),
INDEX(Règles_caprins[Valeur 0-3],MATCH(ChoixRationCaprins&amp;$BX166,Règles_caprins[Ration]&amp;Règles_caprins[Aliment],0)),0),0)*chevrette_0_3_mois*NbreJoursNourrirCaprins)</f>
        <v>0</v>
      </c>
      <c r="CC166" s="332">
        <f t="shared" si="11"/>
        <v>0</v>
      </c>
      <c r="CH166" s="295"/>
    </row>
    <row r="167" spans="1:86" ht="12.75" customHeight="1" x14ac:dyDescent="0.2">
      <c r="A167" s="355" t="s">
        <v>336</v>
      </c>
      <c r="B167" s="364">
        <v>0.01</v>
      </c>
      <c r="BB167" s="369" t="s">
        <v>742</v>
      </c>
      <c r="BC167" s="344" t="s">
        <v>732</v>
      </c>
      <c r="BD167" s="344" t="s">
        <v>713</v>
      </c>
      <c r="BE167" s="370">
        <v>4.8</v>
      </c>
      <c r="BF167" s="370">
        <v>4</v>
      </c>
      <c r="BG167" s="370">
        <v>4</v>
      </c>
      <c r="BH167" s="370">
        <v>4</v>
      </c>
      <c r="BI167" s="370">
        <v>2</v>
      </c>
      <c r="BJ167" s="370">
        <v>1.2</v>
      </c>
      <c r="BK167" s="371">
        <v>0</v>
      </c>
      <c r="BL167" s="305"/>
      <c r="BX167" s="332" t="str">
        <f t="shared" si="12"/>
        <v>Pomme de terre</v>
      </c>
      <c r="BY167" s="332">
        <f t="array" ref="BY167">IF(ChoixRationComplèteCaprins=OUI,0,IFERROR(IF(OR(AND(INDEX(Règles_caprins[Specificite],MATCH(ChoixRationCaprins&amp;$BX167,Règles_caprins[Ration]&amp;Règles_caprins[Aliment],0))="s1",IF($BX167=Spécificité1Caprins,1)),
INDEX(Règles_caprins[Specificite],MATCH(ChoixRationCaprins&amp;$BX167,Règles_caprins[Ration]&amp;Règles_caprins[Aliment],0))="c"),
INDEX(Règles_caprins[Valeur 12 et plus],MATCH(ChoixRationCaprins&amp;$BX167,Règles_caprins[Ration]&amp;Règles_caprins[Aliment],0)),0),0)*TotalChèvres*NbreJoursNourrirCaprins)</f>
        <v>0</v>
      </c>
      <c r="BZ167" s="332">
        <f t="array" ref="BZ167">IF(ChoixRationComplèteCaprins=OUI,0,IFERROR(IF(OR(AND(INDEX(Règles_caprins[Specificite],MATCH(ChoixRationCaprins&amp;$BX167,Règles_caprins[Ration]&amp;Règles_caprins[Aliment],0))="s1",IF($BX167=Spécificité1Caprins,1)),
INDEX(Règles_caprins[Specificite],MATCH(ChoixRationCaprins&amp;$BX167,Règles_caprins[Ration]&amp;Règles_caprins[Aliment],0))="c"),
INDEX(Règles_caprins[Valeur 6-12],MATCH(ChoixRationCaprins&amp;$BX167,Règles_caprins[Ration]&amp;Règles_caprins[Aliment],0)),0),0)*jeune_chèvre_6_12_mois*NbreJoursNourrirCaprins)</f>
        <v>0</v>
      </c>
      <c r="CA167" s="332">
        <f t="array" ref="CA167">IF(ChoixRationComplèteCaprins=OUI,0,IFERROR(IF(OR(AND(INDEX(Règles_caprins[Specificite],MATCH(ChoixRationCaprins&amp;$BX167,Règles_caprins[Ration]&amp;Règles_caprins[Aliment],0))="s1",IF($BX167=Spécificité1Caprins,1)),
INDEX(Règles_caprins[Specificite],MATCH(ChoixRationCaprins&amp;$BX167,Règles_caprins[Ration]&amp;Règles_caprins[Aliment],0))="c"),
INDEX(Règles_caprins[Valeur 3-6],MATCH(ChoixRationCaprins&amp;$BX167,Règles_caprins[Ration]&amp;Règles_caprins[Aliment],0)),0),0)*chevrette_3_6_mois*NbreJoursNourrirCaprins)</f>
        <v>0</v>
      </c>
      <c r="CB167" s="332">
        <f t="array" ref="CB167">IF(ChoixRationComplèteCaprins=OUI,0,IFERROR(IF(OR(AND(INDEX(Règles_caprins[Specificite],MATCH(ChoixRationCaprins&amp;$BX167,Règles_caprins[Ration]&amp;Règles_caprins[Aliment],0))="s1",IF($BX167=Spécificité1Caprins,1)),
INDEX(Règles_caprins[Specificite],MATCH(ChoixRationCaprins&amp;$BX167,Règles_caprins[Ration]&amp;Règles_caprins[Aliment],0))="c"),
INDEX(Règles_caprins[Valeur 0-3],MATCH(ChoixRationCaprins&amp;$BX167,Règles_caprins[Ration]&amp;Règles_caprins[Aliment],0)),0),0)*chevrette_0_3_mois*NbreJoursNourrirCaprins)</f>
        <v>0</v>
      </c>
      <c r="CC167" s="332">
        <f t="shared" si="11"/>
        <v>0</v>
      </c>
      <c r="CH167" s="295"/>
    </row>
    <row r="168" spans="1:86" ht="12.75" customHeight="1" x14ac:dyDescent="0.2">
      <c r="A168" s="355" t="s">
        <v>338</v>
      </c>
      <c r="B168" s="364">
        <v>0.01</v>
      </c>
      <c r="BB168" s="369" t="s">
        <v>742</v>
      </c>
      <c r="BC168" s="344" t="s">
        <v>426</v>
      </c>
      <c r="BD168" s="344" t="s">
        <v>713</v>
      </c>
      <c r="BE168" s="370">
        <v>4.8</v>
      </c>
      <c r="BF168" s="370">
        <v>4</v>
      </c>
      <c r="BG168" s="370">
        <v>4</v>
      </c>
      <c r="BH168" s="370">
        <v>4</v>
      </c>
      <c r="BI168" s="370">
        <v>2</v>
      </c>
      <c r="BJ168" s="370">
        <v>1.2</v>
      </c>
      <c r="BK168" s="371">
        <v>0</v>
      </c>
      <c r="BL168" s="305"/>
      <c r="BX168" s="332" t="str">
        <f t="shared" si="12"/>
        <v>Pulpe déshydratée de betterave</v>
      </c>
      <c r="BY168" s="332">
        <f t="array" ref="BY168">IF(ChoixRationComplèteCaprins=OUI,0,IFERROR(IF(OR(AND(INDEX(Règles_caprins[Specificite],MATCH(ChoixRationCaprins&amp;$BX168,Règles_caprins[Ration]&amp;Règles_caprins[Aliment],0))="s1",IF($BX168=Spécificité1Caprins,1)),
INDEX(Règles_caprins[Specificite],MATCH(ChoixRationCaprins&amp;$BX168,Règles_caprins[Ration]&amp;Règles_caprins[Aliment],0))="c"),
INDEX(Règles_caprins[Valeur 12 et plus],MATCH(ChoixRationCaprins&amp;$BX168,Règles_caprins[Ration]&amp;Règles_caprins[Aliment],0)),0),0)*TotalChèvres*NbreJoursNourrirCaprins)</f>
        <v>0</v>
      </c>
      <c r="BZ168" s="332">
        <f t="array" ref="BZ168">IF(ChoixRationComplèteCaprins=OUI,0,IFERROR(IF(OR(AND(INDEX(Règles_caprins[Specificite],MATCH(ChoixRationCaprins&amp;$BX168,Règles_caprins[Ration]&amp;Règles_caprins[Aliment],0))="s1",IF($BX168=Spécificité1Caprins,1)),
INDEX(Règles_caprins[Specificite],MATCH(ChoixRationCaprins&amp;$BX168,Règles_caprins[Ration]&amp;Règles_caprins[Aliment],0))="c"),
INDEX(Règles_caprins[Valeur 6-12],MATCH(ChoixRationCaprins&amp;$BX168,Règles_caprins[Ration]&amp;Règles_caprins[Aliment],0)),0),0)*jeune_chèvre_6_12_mois*NbreJoursNourrirCaprins)</f>
        <v>0</v>
      </c>
      <c r="CA168" s="332">
        <f t="array" ref="CA168">IF(ChoixRationComplèteCaprins=OUI,0,IFERROR(IF(OR(AND(INDEX(Règles_caprins[Specificite],MATCH(ChoixRationCaprins&amp;$BX168,Règles_caprins[Ration]&amp;Règles_caprins[Aliment],0))="s1",IF($BX168=Spécificité1Caprins,1)),
INDEX(Règles_caprins[Specificite],MATCH(ChoixRationCaprins&amp;$BX168,Règles_caprins[Ration]&amp;Règles_caprins[Aliment],0))="c"),
INDEX(Règles_caprins[Valeur 3-6],MATCH(ChoixRationCaprins&amp;$BX168,Règles_caprins[Ration]&amp;Règles_caprins[Aliment],0)),0),0)*chevrette_3_6_mois*NbreJoursNourrirCaprins)</f>
        <v>0</v>
      </c>
      <c r="CB168" s="332">
        <f t="array" ref="CB168">IF(ChoixRationComplèteCaprins=OUI,0,IFERROR(IF(OR(AND(INDEX(Règles_caprins[Specificite],MATCH(ChoixRationCaprins&amp;$BX168,Règles_caprins[Ration]&amp;Règles_caprins[Aliment],0))="s1",IF($BX168=Spécificité1Caprins,1)),
INDEX(Règles_caprins[Specificite],MATCH(ChoixRationCaprins&amp;$BX168,Règles_caprins[Ration]&amp;Règles_caprins[Aliment],0))="c"),
INDEX(Règles_caprins[Valeur 0-3],MATCH(ChoixRationCaprins&amp;$BX168,Règles_caprins[Ration]&amp;Règles_caprins[Aliment],0)),0),0)*chevrette_0_3_mois*NbreJoursNourrirCaprins)</f>
        <v>0</v>
      </c>
      <c r="CC168" s="332">
        <f t="shared" si="11"/>
        <v>0</v>
      </c>
      <c r="CH168" s="295"/>
    </row>
    <row r="169" spans="1:86" ht="12.75" customHeight="1" x14ac:dyDescent="0.2">
      <c r="A169" s="355" t="s">
        <v>339</v>
      </c>
      <c r="B169" s="364">
        <v>0.01</v>
      </c>
      <c r="BB169" s="369" t="s">
        <v>742</v>
      </c>
      <c r="BC169" s="344" t="s">
        <v>42</v>
      </c>
      <c r="BD169" s="344" t="s">
        <v>713</v>
      </c>
      <c r="BE169" s="370">
        <v>4.8</v>
      </c>
      <c r="BF169" s="370">
        <v>4</v>
      </c>
      <c r="BG169" s="370">
        <v>4</v>
      </c>
      <c r="BH169" s="370">
        <v>4</v>
      </c>
      <c r="BI169" s="370">
        <v>2</v>
      </c>
      <c r="BJ169" s="370">
        <v>1.2</v>
      </c>
      <c r="BK169" s="371">
        <v>0</v>
      </c>
      <c r="BL169" s="305"/>
      <c r="BX169" s="332" t="str">
        <f t="shared" si="12"/>
        <v>Ration complète</v>
      </c>
      <c r="BY169" s="332">
        <f t="array" ref="BY169">IF(ChoixRationComplèteCaprins=OUI,0,IFERROR(IF(OR(AND(INDEX(Règles_caprins[Specificite],MATCH(ChoixRationCaprins&amp;$BX169,Règles_caprins[Ration]&amp;Règles_caprins[Aliment],0))="s1",IF($BX169=Spécificité1Caprins,1)),
INDEX(Règles_caprins[Specificite],MATCH(ChoixRationCaprins&amp;$BX169,Règles_caprins[Ration]&amp;Règles_caprins[Aliment],0))="c"),
INDEX(Règles_caprins[Valeur 12 et plus],MATCH(ChoixRationCaprins&amp;$BX169,Règles_caprins[Ration]&amp;Règles_caprins[Aliment],0)),0),0)*TotalChèvres*NbreJoursNourrirCaprins)</f>
        <v>0</v>
      </c>
      <c r="BZ169" s="332">
        <f t="array" ref="BZ169">IF(ChoixRationComplèteCaprins=OUI,0,IFERROR(IF(OR(AND(INDEX(Règles_caprins[Specificite],MATCH(ChoixRationCaprins&amp;$BX169,Règles_caprins[Ration]&amp;Règles_caprins[Aliment],0))="s1",IF($BX169=Spécificité1Caprins,1)),
INDEX(Règles_caprins[Specificite],MATCH(ChoixRationCaprins&amp;$BX169,Règles_caprins[Ration]&amp;Règles_caprins[Aliment],0))="c"),
INDEX(Règles_caprins[Valeur 6-12],MATCH(ChoixRationCaprins&amp;$BX169,Règles_caprins[Ration]&amp;Règles_caprins[Aliment],0)),0),0)*jeune_chèvre_6_12_mois*NbreJoursNourrirCaprins)</f>
        <v>0</v>
      </c>
      <c r="CA169" s="332">
        <f t="array" ref="CA169">IF(ChoixRationComplèteCaprins=OUI,0,IFERROR(IF(OR(AND(INDEX(Règles_caprins[Specificite],MATCH(ChoixRationCaprins&amp;$BX169,Règles_caprins[Ration]&amp;Règles_caprins[Aliment],0))="s1",IF($BX169=Spécificité1Caprins,1)),
INDEX(Règles_caprins[Specificite],MATCH(ChoixRationCaprins&amp;$BX169,Règles_caprins[Ration]&amp;Règles_caprins[Aliment],0))="c"),
INDEX(Règles_caprins[Valeur 3-6],MATCH(ChoixRationCaprins&amp;$BX169,Règles_caprins[Ration]&amp;Règles_caprins[Aliment],0)),0),0)*chevrette_3_6_mois*NbreJoursNourrirCaprins)</f>
        <v>0</v>
      </c>
      <c r="CB169" s="332">
        <f t="array" ref="CB169">IF(ChoixRationComplèteCaprins=OUI,0,IFERROR(IF(OR(AND(INDEX(Règles_caprins[Specificite],MATCH(ChoixRationCaprins&amp;$BX169,Règles_caprins[Ration]&amp;Règles_caprins[Aliment],0))="s1",IF($BX169=Spécificité1Caprins,1)),
INDEX(Règles_caprins[Specificite],MATCH(ChoixRationCaprins&amp;$BX169,Règles_caprins[Ration]&amp;Règles_caprins[Aliment],0))="c"),
INDEX(Règles_caprins[Valeur 0-3],MATCH(ChoixRationCaprins&amp;$BX169,Règles_caprins[Ration]&amp;Règles_caprins[Aliment],0)),0),0)*chevrette_0_3_mois*NbreJoursNourrirCaprins)</f>
        <v>0</v>
      </c>
      <c r="CC169" s="332">
        <f t="shared" si="11"/>
        <v>0</v>
      </c>
      <c r="CH169" s="295"/>
    </row>
    <row r="170" spans="1:86" ht="12.75" customHeight="1" x14ac:dyDescent="0.2">
      <c r="A170" s="355" t="s">
        <v>341</v>
      </c>
      <c r="B170" s="364">
        <v>0.01</v>
      </c>
      <c r="BB170" s="369" t="s">
        <v>742</v>
      </c>
      <c r="BC170" s="344" t="s">
        <v>730</v>
      </c>
      <c r="BD170" s="344" t="s">
        <v>711</v>
      </c>
      <c r="BE170" s="370">
        <v>1</v>
      </c>
      <c r="BF170" s="370">
        <v>0.8</v>
      </c>
      <c r="BG170" s="370">
        <v>0.6</v>
      </c>
      <c r="BH170" s="370">
        <v>0.4</v>
      </c>
      <c r="BI170" s="370">
        <v>0.4</v>
      </c>
      <c r="BJ170" s="370">
        <v>0.4</v>
      </c>
      <c r="BK170" s="371">
        <v>0</v>
      </c>
      <c r="BL170" s="305"/>
      <c r="BX170" s="332" t="str">
        <f t="shared" si="12"/>
        <v>Seigle</v>
      </c>
      <c r="BY170" s="332">
        <f t="array" ref="BY170">IF(ChoixRationComplèteCaprins=OUI,0,IFERROR(IF(OR(AND(INDEX(Règles_caprins[Specificite],MATCH(ChoixRationCaprins&amp;$BX170,Règles_caprins[Ration]&amp;Règles_caprins[Aliment],0))="s1",IF($BX170=Spécificité1Caprins,1)),
INDEX(Règles_caprins[Specificite],MATCH(ChoixRationCaprins&amp;$BX170,Règles_caprins[Ration]&amp;Règles_caprins[Aliment],0))="c"),
INDEX(Règles_caprins[Valeur 12 et plus],MATCH(ChoixRationCaprins&amp;$BX170,Règles_caprins[Ration]&amp;Règles_caprins[Aliment],0)),0),0)*TotalChèvres*NbreJoursNourrirCaprins)</f>
        <v>0</v>
      </c>
      <c r="BZ170" s="332">
        <f t="array" ref="BZ170">IF(ChoixRationComplèteCaprins=OUI,0,IFERROR(IF(OR(AND(INDEX(Règles_caprins[Specificite],MATCH(ChoixRationCaprins&amp;$BX170,Règles_caprins[Ration]&amp;Règles_caprins[Aliment],0))="s1",IF($BX170=Spécificité1Caprins,1)),
INDEX(Règles_caprins[Specificite],MATCH(ChoixRationCaprins&amp;$BX170,Règles_caprins[Ration]&amp;Règles_caprins[Aliment],0))="c"),
INDEX(Règles_caprins[Valeur 6-12],MATCH(ChoixRationCaprins&amp;$BX170,Règles_caprins[Ration]&amp;Règles_caprins[Aliment],0)),0),0)*jeune_chèvre_6_12_mois*NbreJoursNourrirCaprins)</f>
        <v>0</v>
      </c>
      <c r="CA170" s="332">
        <f t="array" ref="CA170">IF(ChoixRationComplèteCaprins=OUI,0,IFERROR(IF(OR(AND(INDEX(Règles_caprins[Specificite],MATCH(ChoixRationCaprins&amp;$BX170,Règles_caprins[Ration]&amp;Règles_caprins[Aliment],0))="s1",IF($BX170=Spécificité1Caprins,1)),
INDEX(Règles_caprins[Specificite],MATCH(ChoixRationCaprins&amp;$BX170,Règles_caprins[Ration]&amp;Règles_caprins[Aliment],0))="c"),
INDEX(Règles_caprins[Valeur 3-6],MATCH(ChoixRationCaprins&amp;$BX170,Règles_caprins[Ration]&amp;Règles_caprins[Aliment],0)),0),0)*chevrette_3_6_mois*NbreJoursNourrirCaprins)</f>
        <v>0</v>
      </c>
      <c r="CB170" s="332">
        <f t="array" ref="CB170">IF(ChoixRationComplèteCaprins=OUI,0,IFERROR(IF(OR(AND(INDEX(Règles_caprins[Specificite],MATCH(ChoixRationCaprins&amp;$BX170,Règles_caprins[Ration]&amp;Règles_caprins[Aliment],0))="s1",IF($BX170=Spécificité1Caprins,1)),
INDEX(Règles_caprins[Specificite],MATCH(ChoixRationCaprins&amp;$BX170,Règles_caprins[Ration]&amp;Règles_caprins[Aliment],0))="c"),
INDEX(Règles_caprins[Valeur 0-3],MATCH(ChoixRationCaprins&amp;$BX170,Règles_caprins[Ration]&amp;Règles_caprins[Aliment],0)),0),0)*chevrette_0_3_mois*NbreJoursNourrirCaprins)</f>
        <v>0</v>
      </c>
      <c r="CC170" s="332">
        <f t="shared" si="11"/>
        <v>0</v>
      </c>
      <c r="CH170" s="295"/>
    </row>
    <row r="171" spans="1:86" ht="12.75" customHeight="1" x14ac:dyDescent="0.2">
      <c r="A171" s="355" t="s">
        <v>340</v>
      </c>
      <c r="B171" s="364">
        <v>0.01</v>
      </c>
      <c r="BB171" s="369" t="s">
        <v>742</v>
      </c>
      <c r="BC171" s="344" t="s">
        <v>882</v>
      </c>
      <c r="BD171" s="344" t="s">
        <v>711</v>
      </c>
      <c r="BE171" s="370">
        <v>0</v>
      </c>
      <c r="BF171" s="370">
        <v>0</v>
      </c>
      <c r="BG171" s="370">
        <v>0</v>
      </c>
      <c r="BH171" s="370">
        <v>0</v>
      </c>
      <c r="BI171" s="370">
        <v>0</v>
      </c>
      <c r="BJ171" s="370">
        <v>0</v>
      </c>
      <c r="BK171" s="371">
        <v>8</v>
      </c>
      <c r="BL171" s="276"/>
      <c r="BX171" s="332" t="str">
        <f t="shared" si="12"/>
        <v>Soja</v>
      </c>
      <c r="BY171" s="332">
        <f t="array" ref="BY171">IF(ChoixRationComplèteCaprins=OUI,0,IFERROR(IF(OR(AND(INDEX(Règles_caprins[Specificite],MATCH(ChoixRationCaprins&amp;$BX171,Règles_caprins[Ration]&amp;Règles_caprins[Aliment],0))="s1",IF($BX171=Spécificité1Caprins,1)),
INDEX(Règles_caprins[Specificite],MATCH(ChoixRationCaprins&amp;$BX171,Règles_caprins[Ration]&amp;Règles_caprins[Aliment],0))="c"),
INDEX(Règles_caprins[Valeur 12 et plus],MATCH(ChoixRationCaprins&amp;$BX171,Règles_caprins[Ration]&amp;Règles_caprins[Aliment],0)),0),0)*TotalChèvres*NbreJoursNourrirCaprins)</f>
        <v>0</v>
      </c>
      <c r="BZ171" s="332">
        <f t="array" ref="BZ171">IF(ChoixRationComplèteCaprins=OUI,0,IFERROR(IF(OR(AND(INDEX(Règles_caprins[Specificite],MATCH(ChoixRationCaprins&amp;$BX171,Règles_caprins[Ration]&amp;Règles_caprins[Aliment],0))="s1",IF($BX171=Spécificité1Caprins,1)),
INDEX(Règles_caprins[Specificite],MATCH(ChoixRationCaprins&amp;$BX171,Règles_caprins[Ration]&amp;Règles_caprins[Aliment],0))="c"),
INDEX(Règles_caprins[Valeur 6-12],MATCH(ChoixRationCaprins&amp;$BX171,Règles_caprins[Ration]&amp;Règles_caprins[Aliment],0)),0),0)*jeune_chèvre_6_12_mois*NbreJoursNourrirCaprins)</f>
        <v>0</v>
      </c>
      <c r="CA171" s="332">
        <f t="array" ref="CA171">IF(ChoixRationComplèteCaprins=OUI,0,IFERROR(IF(OR(AND(INDEX(Règles_caprins[Specificite],MATCH(ChoixRationCaprins&amp;$BX171,Règles_caprins[Ration]&amp;Règles_caprins[Aliment],0))="s1",IF($BX171=Spécificité1Caprins,1)),
INDEX(Règles_caprins[Specificite],MATCH(ChoixRationCaprins&amp;$BX171,Règles_caprins[Ration]&amp;Règles_caprins[Aliment],0))="c"),
INDEX(Règles_caprins[Valeur 3-6],MATCH(ChoixRationCaprins&amp;$BX171,Règles_caprins[Ration]&amp;Règles_caprins[Aliment],0)),0),0)*chevrette_3_6_mois*NbreJoursNourrirCaprins)</f>
        <v>0</v>
      </c>
      <c r="CB171" s="332">
        <f t="array" ref="CB171">IF(ChoixRationComplèteCaprins=OUI,0,IFERROR(IF(OR(AND(INDEX(Règles_caprins[Specificite],MATCH(ChoixRationCaprins&amp;$BX171,Règles_caprins[Ration]&amp;Règles_caprins[Aliment],0))="s1",IF($BX171=Spécificité1Caprins,1)),
INDEX(Règles_caprins[Specificite],MATCH(ChoixRationCaprins&amp;$BX171,Règles_caprins[Ration]&amp;Règles_caprins[Aliment],0))="c"),
INDEX(Règles_caprins[Valeur 0-3],MATCH(ChoixRationCaprins&amp;$BX171,Règles_caprins[Ration]&amp;Règles_caprins[Aliment],0)),0),0)*chevrette_0_3_mois*NbreJoursNourrirCaprins)</f>
        <v>0</v>
      </c>
      <c r="CC171" s="332">
        <f t="shared" si="11"/>
        <v>0</v>
      </c>
      <c r="CH171" s="295"/>
    </row>
    <row r="172" spans="1:86" ht="12.75" customHeight="1" x14ac:dyDescent="0.2">
      <c r="A172" s="355" t="s">
        <v>342</v>
      </c>
      <c r="B172" s="364">
        <v>0.01</v>
      </c>
      <c r="BB172" s="369" t="s">
        <v>742</v>
      </c>
      <c r="BC172" s="344" t="s">
        <v>444</v>
      </c>
      <c r="BD172" s="344" t="s">
        <v>711</v>
      </c>
      <c r="BE172" s="370">
        <v>200</v>
      </c>
      <c r="BF172" s="370">
        <v>100</v>
      </c>
      <c r="BG172" s="370">
        <v>80</v>
      </c>
      <c r="BH172" s="370">
        <v>60</v>
      </c>
      <c r="BI172" s="370">
        <v>40</v>
      </c>
      <c r="BJ172" s="370">
        <v>28</v>
      </c>
      <c r="BK172" s="371">
        <v>12</v>
      </c>
      <c r="BL172" s="276"/>
      <c r="BX172" s="332" t="str">
        <f t="shared" si="12"/>
        <v>Sorgho ensilé</v>
      </c>
      <c r="BY172" s="332">
        <f t="array" ref="BY172">IF(ChoixRationComplèteCaprins=OUI,0,IFERROR(IF(OR(AND(INDEX(Règles_caprins[Specificite],MATCH(ChoixRationCaprins&amp;$BX172,Règles_caprins[Ration]&amp;Règles_caprins[Aliment],0))="s1",IF($BX172=Spécificité1Caprins,1)),
INDEX(Règles_caprins[Specificite],MATCH(ChoixRationCaprins&amp;$BX172,Règles_caprins[Ration]&amp;Règles_caprins[Aliment],0))="c"),
INDEX(Règles_caprins[Valeur 12 et plus],MATCH(ChoixRationCaprins&amp;$BX172,Règles_caprins[Ration]&amp;Règles_caprins[Aliment],0)),0),0)*TotalChèvres*NbreJoursNourrirCaprins)</f>
        <v>0</v>
      </c>
      <c r="BZ172" s="332">
        <f t="array" ref="BZ172">IF(ChoixRationComplèteCaprins=OUI,0,IFERROR(IF(OR(AND(INDEX(Règles_caprins[Specificite],MATCH(ChoixRationCaprins&amp;$BX172,Règles_caprins[Ration]&amp;Règles_caprins[Aliment],0))="s1",IF($BX172=Spécificité1Caprins,1)),
INDEX(Règles_caprins[Specificite],MATCH(ChoixRationCaprins&amp;$BX172,Règles_caprins[Ration]&amp;Règles_caprins[Aliment],0))="c"),
INDEX(Règles_caprins[Valeur 6-12],MATCH(ChoixRationCaprins&amp;$BX172,Règles_caprins[Ration]&amp;Règles_caprins[Aliment],0)),0),0)*jeune_chèvre_6_12_mois*NbreJoursNourrirCaprins)</f>
        <v>0</v>
      </c>
      <c r="CA172" s="332">
        <f t="array" ref="CA172">IF(ChoixRationComplèteCaprins=OUI,0,IFERROR(IF(OR(AND(INDEX(Règles_caprins[Specificite],MATCH(ChoixRationCaprins&amp;$BX172,Règles_caprins[Ration]&amp;Règles_caprins[Aliment],0))="s1",IF($BX172=Spécificité1Caprins,1)),
INDEX(Règles_caprins[Specificite],MATCH(ChoixRationCaprins&amp;$BX172,Règles_caprins[Ration]&amp;Règles_caprins[Aliment],0))="c"),
INDEX(Règles_caprins[Valeur 3-6],MATCH(ChoixRationCaprins&amp;$BX172,Règles_caprins[Ration]&amp;Règles_caprins[Aliment],0)),0),0)*chevrette_3_6_mois*NbreJoursNourrirCaprins)</f>
        <v>0</v>
      </c>
      <c r="CB172" s="332">
        <f t="array" ref="CB172">IF(ChoixRationComplèteCaprins=OUI,0,IFERROR(IF(OR(AND(INDEX(Règles_caprins[Specificite],MATCH(ChoixRationCaprins&amp;$BX172,Règles_caprins[Ration]&amp;Règles_caprins[Aliment],0))="s1",IF($BX172=Spécificité1Caprins,1)),
INDEX(Règles_caprins[Specificite],MATCH(ChoixRationCaprins&amp;$BX172,Règles_caprins[Ration]&amp;Règles_caprins[Aliment],0))="c"),
INDEX(Règles_caprins[Valeur 0-3],MATCH(ChoixRationCaprins&amp;$BX172,Règles_caprins[Ration]&amp;Règles_caprins[Aliment],0)),0),0)*chevrette_0_3_mois*NbreJoursNourrirCaprins)</f>
        <v>0</v>
      </c>
      <c r="CC172" s="332">
        <f t="shared" si="11"/>
        <v>0</v>
      </c>
      <c r="CH172" s="295"/>
    </row>
    <row r="173" spans="1:86" ht="12.75" customHeight="1" x14ac:dyDescent="0.2">
      <c r="A173" s="355" t="s">
        <v>343</v>
      </c>
      <c r="B173" s="364">
        <v>0.01</v>
      </c>
      <c r="BB173" s="369" t="s">
        <v>596</v>
      </c>
      <c r="BC173" s="344" t="s">
        <v>434</v>
      </c>
      <c r="BD173" s="344" t="s">
        <v>735</v>
      </c>
      <c r="BE173" s="370">
        <v>53.8</v>
      </c>
      <c r="BF173" s="370">
        <v>44</v>
      </c>
      <c r="BG173" s="370">
        <v>34</v>
      </c>
      <c r="BH173" s="370">
        <v>25</v>
      </c>
      <c r="BI173" s="370">
        <v>20</v>
      </c>
      <c r="BJ173" s="370">
        <v>15</v>
      </c>
      <c r="BK173" s="371">
        <v>0</v>
      </c>
      <c r="BL173" s="276"/>
      <c r="BX173" s="332" t="str">
        <f t="shared" si="12"/>
        <v>Tournesol</v>
      </c>
      <c r="BY173" s="332">
        <f t="array" ref="BY173">IF(ChoixRationComplèteCaprins=OUI,0,IFERROR(IF(OR(AND(INDEX(Règles_caprins[Specificite],MATCH(ChoixRationCaprins&amp;$BX173,Règles_caprins[Ration]&amp;Règles_caprins[Aliment],0))="s1",IF($BX173=Spécificité1Caprins,1)),
INDEX(Règles_caprins[Specificite],MATCH(ChoixRationCaprins&amp;$BX173,Règles_caprins[Ration]&amp;Règles_caprins[Aliment],0))="c"),
INDEX(Règles_caprins[Valeur 12 et plus],MATCH(ChoixRationCaprins&amp;$BX173,Règles_caprins[Ration]&amp;Règles_caprins[Aliment],0)),0),0)*TotalChèvres*NbreJoursNourrirCaprins)</f>
        <v>0</v>
      </c>
      <c r="BZ173" s="332">
        <f t="array" ref="BZ173">IF(ChoixRationComplèteCaprins=OUI,0,IFERROR(IF(OR(AND(INDEX(Règles_caprins[Specificite],MATCH(ChoixRationCaprins&amp;$BX173,Règles_caprins[Ration]&amp;Règles_caprins[Aliment],0))="s1",IF($BX173=Spécificité1Caprins,1)),
INDEX(Règles_caprins[Specificite],MATCH(ChoixRationCaprins&amp;$BX173,Règles_caprins[Ration]&amp;Règles_caprins[Aliment],0))="c"),
INDEX(Règles_caprins[Valeur 6-12],MATCH(ChoixRationCaprins&amp;$BX173,Règles_caprins[Ration]&amp;Règles_caprins[Aliment],0)),0),0)*jeune_chèvre_6_12_mois*NbreJoursNourrirCaprins)</f>
        <v>0</v>
      </c>
      <c r="CA173" s="332">
        <f t="array" ref="CA173">IF(ChoixRationComplèteCaprins=OUI,0,IFERROR(IF(OR(AND(INDEX(Règles_caprins[Specificite],MATCH(ChoixRationCaprins&amp;$BX173,Règles_caprins[Ration]&amp;Règles_caprins[Aliment],0))="s1",IF($BX173=Spécificité1Caprins,1)),
INDEX(Règles_caprins[Specificite],MATCH(ChoixRationCaprins&amp;$BX173,Règles_caprins[Ration]&amp;Règles_caprins[Aliment],0))="c"),
INDEX(Règles_caprins[Valeur 3-6],MATCH(ChoixRationCaprins&amp;$BX173,Règles_caprins[Ration]&amp;Règles_caprins[Aliment],0)),0),0)*chevrette_3_6_mois*NbreJoursNourrirCaprins)</f>
        <v>0</v>
      </c>
      <c r="CB173" s="332">
        <f t="array" ref="CB173">IF(ChoixRationComplèteCaprins=OUI,0,IFERROR(IF(OR(AND(INDEX(Règles_caprins[Specificite],MATCH(ChoixRationCaprins&amp;$BX173,Règles_caprins[Ration]&amp;Règles_caprins[Aliment],0))="s1",IF($BX173=Spécificité1Caprins,1)),
INDEX(Règles_caprins[Specificite],MATCH(ChoixRationCaprins&amp;$BX173,Règles_caprins[Ration]&amp;Règles_caprins[Aliment],0))="c"),
INDEX(Règles_caprins[Valeur 0-3],MATCH(ChoixRationCaprins&amp;$BX173,Règles_caprins[Ration]&amp;Règles_caprins[Aliment],0)),0),0)*chevrette_0_3_mois*NbreJoursNourrirCaprins)</f>
        <v>0</v>
      </c>
      <c r="CC173" s="332">
        <f t="shared" si="11"/>
        <v>0</v>
      </c>
      <c r="CH173" s="295"/>
    </row>
    <row r="174" spans="1:86" ht="12.75" customHeight="1" x14ac:dyDescent="0.2">
      <c r="A174" s="355" t="s">
        <v>344</v>
      </c>
      <c r="B174" s="364">
        <v>0.01</v>
      </c>
      <c r="BB174" s="369" t="s">
        <v>596</v>
      </c>
      <c r="BC174" s="344" t="s">
        <v>124</v>
      </c>
      <c r="BD174" s="344" t="s">
        <v>711</v>
      </c>
      <c r="BE174" s="370">
        <v>44</v>
      </c>
      <c r="BF174" s="370">
        <v>36</v>
      </c>
      <c r="BG174" s="370">
        <v>28</v>
      </c>
      <c r="BH174" s="370">
        <v>20</v>
      </c>
      <c r="BI174" s="370">
        <v>16</v>
      </c>
      <c r="BJ174" s="370">
        <v>12</v>
      </c>
      <c r="BK174" s="371">
        <v>0</v>
      </c>
      <c r="BL174" s="276"/>
      <c r="BX174" s="332" t="str">
        <f t="shared" si="12"/>
        <v>Tourteau de colza</v>
      </c>
      <c r="BY174" s="332">
        <f t="array" ref="BY174">IF(ChoixRationComplèteCaprins=OUI,0,IFERROR(IF(OR(AND(INDEX(Règles_caprins[Specificite],MATCH(ChoixRationCaprins&amp;$BX174,Règles_caprins[Ration]&amp;Règles_caprins[Aliment],0))="s1",IF($BX174=Spécificité1Caprins,1)),
INDEX(Règles_caprins[Specificite],MATCH(ChoixRationCaprins&amp;$BX174,Règles_caprins[Ration]&amp;Règles_caprins[Aliment],0))="c"),
INDEX(Règles_caprins[Valeur 12 et plus],MATCH(ChoixRationCaprins&amp;$BX174,Règles_caprins[Ration]&amp;Règles_caprins[Aliment],0)),0),0)*TotalChèvres*NbreJoursNourrirCaprins)</f>
        <v>0</v>
      </c>
      <c r="BZ174" s="332">
        <f t="array" ref="BZ174">IF(ChoixRationComplèteCaprins=OUI,0,IFERROR(IF(OR(AND(INDEX(Règles_caprins[Specificite],MATCH(ChoixRationCaprins&amp;$BX174,Règles_caprins[Ration]&amp;Règles_caprins[Aliment],0))="s1",IF($BX174=Spécificité1Caprins,1)),
INDEX(Règles_caprins[Specificite],MATCH(ChoixRationCaprins&amp;$BX174,Règles_caprins[Ration]&amp;Règles_caprins[Aliment],0))="c"),
INDEX(Règles_caprins[Valeur 6-12],MATCH(ChoixRationCaprins&amp;$BX174,Règles_caprins[Ration]&amp;Règles_caprins[Aliment],0)),0),0)*jeune_chèvre_6_12_mois*NbreJoursNourrirCaprins)</f>
        <v>0</v>
      </c>
      <c r="CA174" s="332">
        <f t="array" ref="CA174">IF(ChoixRationComplèteCaprins=OUI,0,IFERROR(IF(OR(AND(INDEX(Règles_caprins[Specificite],MATCH(ChoixRationCaprins&amp;$BX174,Règles_caprins[Ration]&amp;Règles_caprins[Aliment],0))="s1",IF($BX174=Spécificité1Caprins,1)),
INDEX(Règles_caprins[Specificite],MATCH(ChoixRationCaprins&amp;$BX174,Règles_caprins[Ration]&amp;Règles_caprins[Aliment],0))="c"),
INDEX(Règles_caprins[Valeur 3-6],MATCH(ChoixRationCaprins&amp;$BX174,Règles_caprins[Ration]&amp;Règles_caprins[Aliment],0)),0),0)*chevrette_3_6_mois*NbreJoursNourrirCaprins)</f>
        <v>0</v>
      </c>
      <c r="CB174" s="332">
        <f t="array" ref="CB174">IF(ChoixRationComplèteCaprins=OUI,0,IFERROR(IF(OR(AND(INDEX(Règles_caprins[Specificite],MATCH(ChoixRationCaprins&amp;$BX174,Règles_caprins[Ration]&amp;Règles_caprins[Aliment],0))="s1",IF($BX174=Spécificité1Caprins,1)),
INDEX(Règles_caprins[Specificite],MATCH(ChoixRationCaprins&amp;$BX174,Règles_caprins[Ration]&amp;Règles_caprins[Aliment],0))="c"),
INDEX(Règles_caprins[Valeur 0-3],MATCH(ChoixRationCaprins&amp;$BX174,Règles_caprins[Ration]&amp;Règles_caprins[Aliment],0)),0),0)*chevrette_0_3_mois*NbreJoursNourrirCaprins)</f>
        <v>0</v>
      </c>
      <c r="CC174" s="332">
        <f t="shared" si="11"/>
        <v>0</v>
      </c>
      <c r="CH174" s="295"/>
    </row>
    <row r="175" spans="1:86" ht="12.75" customHeight="1" x14ac:dyDescent="0.2">
      <c r="A175" s="355" t="s">
        <v>345</v>
      </c>
      <c r="B175" s="364">
        <v>0.01</v>
      </c>
      <c r="BB175" s="369" t="s">
        <v>596</v>
      </c>
      <c r="BC175" s="344" t="s">
        <v>383</v>
      </c>
      <c r="BD175" s="344" t="s">
        <v>712</v>
      </c>
      <c r="BE175" s="370">
        <v>6.6</v>
      </c>
      <c r="BF175" s="370">
        <v>5.4</v>
      </c>
      <c r="BG175" s="370">
        <v>4.2</v>
      </c>
      <c r="BH175" s="370">
        <v>3</v>
      </c>
      <c r="BI175" s="370">
        <v>2.4</v>
      </c>
      <c r="BJ175" s="370">
        <v>1.2</v>
      </c>
      <c r="BK175" s="371">
        <v>0</v>
      </c>
      <c r="BL175" s="276"/>
      <c r="BX175" s="332" t="str">
        <f t="shared" si="12"/>
        <v>Tourteau de tournesol</v>
      </c>
      <c r="BY175" s="332">
        <f t="array" ref="BY175">IF(ChoixRationComplèteCaprins=OUI,0,IFERROR(IF(OR(AND(INDEX(Règles_caprins[Specificite],MATCH(ChoixRationCaprins&amp;$BX175,Règles_caprins[Ration]&amp;Règles_caprins[Aliment],0))="s1",IF($BX175=Spécificité1Caprins,1)),
INDEX(Règles_caprins[Specificite],MATCH(ChoixRationCaprins&amp;$BX175,Règles_caprins[Ration]&amp;Règles_caprins[Aliment],0))="c"),
INDEX(Règles_caprins[Valeur 12 et plus],MATCH(ChoixRationCaprins&amp;$BX175,Règles_caprins[Ration]&amp;Règles_caprins[Aliment],0)),0),0)*TotalChèvres*NbreJoursNourrirCaprins)</f>
        <v>0</v>
      </c>
      <c r="BZ175" s="332">
        <f t="array" ref="BZ175">IF(ChoixRationComplèteCaprins=OUI,0,IFERROR(IF(OR(AND(INDEX(Règles_caprins[Specificite],MATCH(ChoixRationCaprins&amp;$BX175,Règles_caprins[Ration]&amp;Règles_caprins[Aliment],0))="s1",IF($BX175=Spécificité1Caprins,1)),
INDEX(Règles_caprins[Specificite],MATCH(ChoixRationCaprins&amp;$BX175,Règles_caprins[Ration]&amp;Règles_caprins[Aliment],0))="c"),
INDEX(Règles_caprins[Valeur 6-12],MATCH(ChoixRationCaprins&amp;$BX175,Règles_caprins[Ration]&amp;Règles_caprins[Aliment],0)),0),0)*jeune_chèvre_6_12_mois*NbreJoursNourrirCaprins)</f>
        <v>0</v>
      </c>
      <c r="CA175" s="332">
        <f t="array" ref="CA175">IF(ChoixRationComplèteCaprins=OUI,0,IFERROR(IF(OR(AND(INDEX(Règles_caprins[Specificite],MATCH(ChoixRationCaprins&amp;$BX175,Règles_caprins[Ration]&amp;Règles_caprins[Aliment],0))="s1",IF($BX175=Spécificité1Caprins,1)),
INDEX(Règles_caprins[Specificite],MATCH(ChoixRationCaprins&amp;$BX175,Règles_caprins[Ration]&amp;Règles_caprins[Aliment],0))="c"),
INDEX(Règles_caprins[Valeur 3-6],MATCH(ChoixRationCaprins&amp;$BX175,Règles_caprins[Ration]&amp;Règles_caprins[Aliment],0)),0),0)*chevrette_3_6_mois*NbreJoursNourrirCaprins)</f>
        <v>0</v>
      </c>
      <c r="CB175" s="332">
        <f t="array" ref="CB175">IF(ChoixRationComplèteCaprins=OUI,0,IFERROR(IF(OR(AND(INDEX(Règles_caprins[Specificite],MATCH(ChoixRationCaprins&amp;$BX175,Règles_caprins[Ration]&amp;Règles_caprins[Aliment],0))="s1",IF($BX175=Spécificité1Caprins,1)),
INDEX(Règles_caprins[Specificite],MATCH(ChoixRationCaprins&amp;$BX175,Règles_caprins[Ration]&amp;Règles_caprins[Aliment],0))="c"),
INDEX(Règles_caprins[Valeur 0-3],MATCH(ChoixRationCaprins&amp;$BX175,Règles_caprins[Ration]&amp;Règles_caprins[Aliment],0)),0),0)*chevrette_0_3_mois*NbreJoursNourrirCaprins)</f>
        <v>0</v>
      </c>
      <c r="CC175" s="332">
        <f t="shared" si="11"/>
        <v>0</v>
      </c>
      <c r="CH175" s="295"/>
    </row>
    <row r="176" spans="1:86" ht="12.75" customHeight="1" x14ac:dyDescent="0.2">
      <c r="A176" s="355" t="s">
        <v>346</v>
      </c>
      <c r="B176" s="364">
        <v>0.01</v>
      </c>
      <c r="BB176" s="369" t="s">
        <v>596</v>
      </c>
      <c r="BC176" s="344" t="s">
        <v>160</v>
      </c>
      <c r="BD176" s="344" t="s">
        <v>712</v>
      </c>
      <c r="BE176" s="370">
        <v>6.6</v>
      </c>
      <c r="BF176" s="370">
        <v>5.4</v>
      </c>
      <c r="BG176" s="370">
        <v>4.2</v>
      </c>
      <c r="BH176" s="370">
        <v>3</v>
      </c>
      <c r="BI176" s="370">
        <v>2.4</v>
      </c>
      <c r="BJ176" s="370">
        <v>1.2</v>
      </c>
      <c r="BK176" s="371">
        <v>0</v>
      </c>
      <c r="BL176" s="276"/>
      <c r="BX176" s="332" t="str">
        <f t="shared" si="12"/>
        <v>Triticale</v>
      </c>
      <c r="BY176" s="332">
        <f t="array" ref="BY176">IF(ChoixRationComplèteCaprins=OUI,0,IFERROR(IF(OR(AND(INDEX(Règles_caprins[Specificite],MATCH(ChoixRationCaprins&amp;$BX176,Règles_caprins[Ration]&amp;Règles_caprins[Aliment],0))="s1",IF($BX176=Spécificité1Caprins,1)),
INDEX(Règles_caprins[Specificite],MATCH(ChoixRationCaprins&amp;$BX176,Règles_caprins[Ration]&amp;Règles_caprins[Aliment],0))="c"),
INDEX(Règles_caprins[Valeur 12 et plus],MATCH(ChoixRationCaprins&amp;$BX176,Règles_caprins[Ration]&amp;Règles_caprins[Aliment],0)),0),0)*TotalChèvres*NbreJoursNourrirCaprins)</f>
        <v>0</v>
      </c>
      <c r="BZ176" s="332">
        <f t="array" ref="BZ176">IF(ChoixRationComplèteCaprins=OUI,0,IFERROR(IF(OR(AND(INDEX(Règles_caprins[Specificite],MATCH(ChoixRationCaprins&amp;$BX176,Règles_caprins[Ration]&amp;Règles_caprins[Aliment],0))="s1",IF($BX176=Spécificité1Caprins,1)),
INDEX(Règles_caprins[Specificite],MATCH(ChoixRationCaprins&amp;$BX176,Règles_caprins[Ration]&amp;Règles_caprins[Aliment],0))="c"),
INDEX(Règles_caprins[Valeur 6-12],MATCH(ChoixRationCaprins&amp;$BX176,Règles_caprins[Ration]&amp;Règles_caprins[Aliment],0)),0),0)*jeune_chèvre_6_12_mois*NbreJoursNourrirCaprins)</f>
        <v>0</v>
      </c>
      <c r="CA176" s="332">
        <f t="array" ref="CA176">IF(ChoixRationComplèteCaprins=OUI,0,IFERROR(IF(OR(AND(INDEX(Règles_caprins[Specificite],MATCH(ChoixRationCaprins&amp;$BX176,Règles_caprins[Ration]&amp;Règles_caprins[Aliment],0))="s1",IF($BX176=Spécificité1Caprins,1)),
INDEX(Règles_caprins[Specificite],MATCH(ChoixRationCaprins&amp;$BX176,Règles_caprins[Ration]&amp;Règles_caprins[Aliment],0))="c"),
INDEX(Règles_caprins[Valeur 3-6],MATCH(ChoixRationCaprins&amp;$BX176,Règles_caprins[Ration]&amp;Règles_caprins[Aliment],0)),0),0)*chevrette_3_6_mois*NbreJoursNourrirCaprins)</f>
        <v>0</v>
      </c>
      <c r="CB176" s="332">
        <f t="array" ref="CB176">IF(ChoixRationComplèteCaprins=OUI,0,IFERROR(IF(OR(AND(INDEX(Règles_caprins[Specificite],MATCH(ChoixRationCaprins&amp;$BX176,Règles_caprins[Ration]&amp;Règles_caprins[Aliment],0))="s1",IF($BX176=Spécificité1Caprins,1)),
INDEX(Règles_caprins[Specificite],MATCH(ChoixRationCaprins&amp;$BX176,Règles_caprins[Ration]&amp;Règles_caprins[Aliment],0))="c"),
INDEX(Règles_caprins[Valeur 0-3],MATCH(ChoixRationCaprins&amp;$BX176,Règles_caprins[Ration]&amp;Règles_caprins[Aliment],0)),0),0)*chevrette_0_3_mois*NbreJoursNourrirCaprins)</f>
        <v>0</v>
      </c>
      <c r="CC176" s="332">
        <f t="shared" si="11"/>
        <v>0</v>
      </c>
      <c r="CH176" s="295"/>
    </row>
    <row r="177" spans="1:86" ht="12.75" customHeight="1" x14ac:dyDescent="0.2">
      <c r="A177" s="355" t="s">
        <v>347</v>
      </c>
      <c r="B177" s="364">
        <v>0.01</v>
      </c>
      <c r="BB177" s="369" t="s">
        <v>596</v>
      </c>
      <c r="BC177" s="344" t="s">
        <v>47</v>
      </c>
      <c r="BD177" s="344" t="s">
        <v>712</v>
      </c>
      <c r="BE177" s="370">
        <v>6.6</v>
      </c>
      <c r="BF177" s="370">
        <v>5.4</v>
      </c>
      <c r="BG177" s="370">
        <v>4.2</v>
      </c>
      <c r="BH177" s="370">
        <v>3</v>
      </c>
      <c r="BI177" s="370">
        <v>2.4</v>
      </c>
      <c r="BJ177" s="370">
        <v>1.2</v>
      </c>
      <c r="BK177" s="371">
        <v>0</v>
      </c>
      <c r="BL177" s="276"/>
      <c r="BX177" s="332">
        <f t="shared" si="12"/>
        <v>0</v>
      </c>
      <c r="BY177" s="332">
        <f t="array" ref="BY177">IF(ChoixRationComplèteCaprins=OUI,0,IFERROR(IF(OR(AND(INDEX(Règles_caprins[Specificite],MATCH(ChoixRationCaprins&amp;$BX177,Règles_caprins[Ration]&amp;Règles_caprins[Aliment],0))="s1",IF($BX177=Spécificité1Caprins,1)),
INDEX(Règles_caprins[Specificite],MATCH(ChoixRationCaprins&amp;$BX177,Règles_caprins[Ration]&amp;Règles_caprins[Aliment],0))="c"),
INDEX(Règles_caprins[Valeur 12 et plus],MATCH(ChoixRationCaprins&amp;$BX177,Règles_caprins[Ration]&amp;Règles_caprins[Aliment],0)),0),0)*TotalChèvres*NbreJoursNourrirCaprins)</f>
        <v>0</v>
      </c>
      <c r="BZ177" s="332">
        <f t="array" ref="BZ177">IF(ChoixRationComplèteCaprins=OUI,0,IFERROR(IF(OR(AND(INDEX(Règles_caprins[Specificite],MATCH(ChoixRationCaprins&amp;$BX177,Règles_caprins[Ration]&amp;Règles_caprins[Aliment],0))="s1",IF($BX177=Spécificité1Caprins,1)),
INDEX(Règles_caprins[Specificite],MATCH(ChoixRationCaprins&amp;$BX177,Règles_caprins[Ration]&amp;Règles_caprins[Aliment],0))="c"),
INDEX(Règles_caprins[Valeur 6-12],MATCH(ChoixRationCaprins&amp;$BX177,Règles_caprins[Ration]&amp;Règles_caprins[Aliment],0)),0),0)*jeune_chèvre_6_12_mois*NbreJoursNourrirCaprins)</f>
        <v>0</v>
      </c>
      <c r="CA177" s="332">
        <f t="array" ref="CA177">IF(ChoixRationComplèteCaprins=OUI,0,IFERROR(IF(OR(AND(INDEX(Règles_caprins[Specificite],MATCH(ChoixRationCaprins&amp;$BX177,Règles_caprins[Ration]&amp;Règles_caprins[Aliment],0))="s1",IF($BX177=Spécificité1Caprins,1)),
INDEX(Règles_caprins[Specificite],MATCH(ChoixRationCaprins&amp;$BX177,Règles_caprins[Ration]&amp;Règles_caprins[Aliment],0))="c"),
INDEX(Règles_caprins[Valeur 3-6],MATCH(ChoixRationCaprins&amp;$BX177,Règles_caprins[Ration]&amp;Règles_caprins[Aliment],0)),0),0)*chevrette_3_6_mois*NbreJoursNourrirCaprins)</f>
        <v>0</v>
      </c>
      <c r="CB177" s="332">
        <f t="array" ref="CB177">IF(ChoixRationComplèteCaprins=OUI,0,IFERROR(IF(OR(AND(INDEX(Règles_caprins[Specificite],MATCH(ChoixRationCaprins&amp;$BX177,Règles_caprins[Ration]&amp;Règles_caprins[Aliment],0))="s1",IF($BX177=Spécificité1Caprins,1)),
INDEX(Règles_caprins[Specificite],MATCH(ChoixRationCaprins&amp;$BX177,Règles_caprins[Ration]&amp;Règles_caprins[Aliment],0))="c"),
INDEX(Règles_caprins[Valeur 0-3],MATCH(ChoixRationCaprins&amp;$BX177,Règles_caprins[Ration]&amp;Règles_caprins[Aliment],0)),0),0)*chevrette_0_3_mois*NbreJoursNourrirCaprins)</f>
        <v>0</v>
      </c>
      <c r="CC177" s="332">
        <f t="shared" si="11"/>
        <v>0</v>
      </c>
      <c r="CH177" s="295"/>
    </row>
    <row r="178" spans="1:86" ht="12.75" customHeight="1" x14ac:dyDescent="0.2">
      <c r="A178" s="355" t="s">
        <v>348</v>
      </c>
      <c r="B178" s="364">
        <v>0.01</v>
      </c>
      <c r="BB178" s="369" t="s">
        <v>596</v>
      </c>
      <c r="BC178" s="344" t="s">
        <v>732</v>
      </c>
      <c r="BD178" s="344" t="s">
        <v>713</v>
      </c>
      <c r="BE178" s="370">
        <v>2.2000000000000002</v>
      </c>
      <c r="BF178" s="370">
        <v>1.8</v>
      </c>
      <c r="BG178" s="370">
        <v>1.4</v>
      </c>
      <c r="BH178" s="370">
        <v>1</v>
      </c>
      <c r="BI178" s="370">
        <v>0.8</v>
      </c>
      <c r="BJ178" s="370">
        <v>0.6</v>
      </c>
      <c r="BK178" s="371">
        <v>0</v>
      </c>
      <c r="BL178" s="276"/>
      <c r="BX178" s="332">
        <f t="shared" si="12"/>
        <v>0</v>
      </c>
      <c r="BY178" s="338">
        <f t="array" ref="BY178">IF(ChoixRationComplèteCaprins=OUI,0,IFERROR(IF(OR(AND(INDEX(Règles_caprins[Specificite],MATCH(ChoixRationCaprins&amp;$BX178,Règles_caprins[Ration]&amp;Règles_caprins[Aliment],0))="s1",IF($BX178=Spécificité1Caprins,1)),
INDEX(Règles_caprins[Specificite],MATCH(ChoixRationCaprins&amp;$BX178,Règles_caprins[Ration]&amp;Règles_caprins[Aliment],0))="c"),
INDEX(Règles_caprins[Valeur 12 et plus],MATCH(ChoixRationCaprins&amp;$BX178,Règles_caprins[Ration]&amp;Règles_caprins[Aliment],0)),0),0)*TotalChèvres*NbreJoursNourrirCaprins)</f>
        <v>0</v>
      </c>
      <c r="BZ178" s="338">
        <f t="array" ref="BZ178">IF(ChoixRationComplèteCaprins=OUI,0,IFERROR(IF(OR(AND(INDEX(Règles_caprins[Specificite],MATCH(ChoixRationCaprins&amp;$BX178,Règles_caprins[Ration]&amp;Règles_caprins[Aliment],0))="s1",IF($BX178=Spécificité1Caprins,1)),
INDEX(Règles_caprins[Specificite],MATCH(ChoixRationCaprins&amp;$BX178,Règles_caprins[Ration]&amp;Règles_caprins[Aliment],0))="c"),
INDEX(Règles_caprins[Valeur 6-12],MATCH(ChoixRationCaprins&amp;$BX178,Règles_caprins[Ration]&amp;Règles_caprins[Aliment],0)),0),0)*jeune_chèvre_6_12_mois*NbreJoursNourrirCaprins)</f>
        <v>0</v>
      </c>
      <c r="CA178" s="338">
        <f t="array" ref="CA178">IF(ChoixRationComplèteCaprins=OUI,0,IFERROR(IF(OR(AND(INDEX(Règles_caprins[Specificite],MATCH(ChoixRationCaprins&amp;$BX178,Règles_caprins[Ration]&amp;Règles_caprins[Aliment],0))="s1",IF($BX178=Spécificité1Caprins,1)),
INDEX(Règles_caprins[Specificite],MATCH(ChoixRationCaprins&amp;$BX178,Règles_caprins[Ration]&amp;Règles_caprins[Aliment],0))="c"),
INDEX(Règles_caprins[Valeur 3-6],MATCH(ChoixRationCaprins&amp;$BX178,Règles_caprins[Ration]&amp;Règles_caprins[Aliment],0)),0),0)*chevrette_3_6_mois*NbreJoursNourrirCaprins)</f>
        <v>0</v>
      </c>
      <c r="CB178" s="338">
        <f t="array" ref="CB178">IF(ChoixRationComplèteCaprins=OUI,0,IFERROR(IF(OR(AND(INDEX(Règles_caprins[Specificite],MATCH(ChoixRationCaprins&amp;$BX178,Règles_caprins[Ration]&amp;Règles_caprins[Aliment],0))="s1",IF($BX178=Spécificité1Caprins,1)),
INDEX(Règles_caprins[Specificite],MATCH(ChoixRationCaprins&amp;$BX178,Règles_caprins[Ration]&amp;Règles_caprins[Aliment],0))="c"),
INDEX(Règles_caprins[Valeur 0-3],MATCH(ChoixRationCaprins&amp;$BX178,Règles_caprins[Ration]&amp;Règles_caprins[Aliment],0)),0),0)*chevrette_0_3_mois*NbreJoursNourrirCaprins)</f>
        <v>0</v>
      </c>
      <c r="CC178" s="332">
        <f t="shared" si="11"/>
        <v>0</v>
      </c>
      <c r="CH178" s="295"/>
    </row>
    <row r="179" spans="1:86" ht="12.75" customHeight="1" x14ac:dyDescent="0.2">
      <c r="A179" s="355" t="s">
        <v>349</v>
      </c>
      <c r="B179" s="364">
        <v>0.01</v>
      </c>
      <c r="BB179" s="369" t="s">
        <v>596</v>
      </c>
      <c r="BC179" s="344" t="s">
        <v>426</v>
      </c>
      <c r="BD179" s="344" t="s">
        <v>713</v>
      </c>
      <c r="BE179" s="370">
        <v>2.2000000000000002</v>
      </c>
      <c r="BF179" s="370">
        <v>1.8</v>
      </c>
      <c r="BG179" s="370">
        <v>1.4</v>
      </c>
      <c r="BH179" s="370">
        <v>1</v>
      </c>
      <c r="BI179" s="370">
        <v>0.8</v>
      </c>
      <c r="BJ179" s="370">
        <v>0.6</v>
      </c>
      <c r="BK179" s="371">
        <v>0</v>
      </c>
      <c r="BL179" s="276"/>
      <c r="CB179" s="281"/>
      <c r="CC179" s="281"/>
      <c r="CH179" s="295"/>
    </row>
    <row r="180" spans="1:86" ht="12.75" customHeight="1" x14ac:dyDescent="0.2">
      <c r="A180" s="355" t="s">
        <v>745</v>
      </c>
      <c r="B180" s="364">
        <f>1/1000</f>
        <v>1E-3</v>
      </c>
      <c r="BB180" s="369" t="s">
        <v>596</v>
      </c>
      <c r="BC180" s="344" t="s">
        <v>42</v>
      </c>
      <c r="BD180" s="344" t="s">
        <v>713</v>
      </c>
      <c r="BE180" s="370">
        <v>2.2000000000000002</v>
      </c>
      <c r="BF180" s="370">
        <v>1.8</v>
      </c>
      <c r="BG180" s="370">
        <v>1.4</v>
      </c>
      <c r="BH180" s="370">
        <v>1</v>
      </c>
      <c r="BI180" s="370">
        <v>0.8</v>
      </c>
      <c r="BJ180" s="370">
        <v>0.6</v>
      </c>
      <c r="BK180" s="371">
        <v>0</v>
      </c>
      <c r="BL180" s="276"/>
      <c r="BX180" s="229" t="s">
        <v>736</v>
      </c>
      <c r="BY180" s="229"/>
      <c r="BZ180" s="229"/>
      <c r="CA180" s="229"/>
      <c r="CB180" s="229"/>
      <c r="CC180" s="229"/>
      <c r="CD180" s="323"/>
      <c r="CE180" s="323"/>
      <c r="CF180" s="323"/>
      <c r="CG180" s="323"/>
      <c r="CH180" s="295"/>
    </row>
    <row r="181" spans="1:86" ht="12.75" customHeight="1" x14ac:dyDescent="0.2">
      <c r="A181" s="355" t="s">
        <v>746</v>
      </c>
      <c r="B181" s="364">
        <f>1/1000</f>
        <v>1E-3</v>
      </c>
      <c r="BB181" s="369" t="s">
        <v>596</v>
      </c>
      <c r="BC181" s="344" t="s">
        <v>730</v>
      </c>
      <c r="BD181" s="344" t="s">
        <v>711</v>
      </c>
      <c r="BE181" s="370">
        <v>1</v>
      </c>
      <c r="BF181" s="370">
        <v>0.8</v>
      </c>
      <c r="BG181" s="370">
        <v>0.7</v>
      </c>
      <c r="BH181" s="370">
        <v>0.5</v>
      </c>
      <c r="BI181" s="370">
        <v>0.4</v>
      </c>
      <c r="BJ181" s="370">
        <v>0.3</v>
      </c>
      <c r="BK181" s="371">
        <v>0</v>
      </c>
      <c r="BL181" s="276"/>
      <c r="BX181" s="376" t="s">
        <v>734</v>
      </c>
      <c r="BY181" s="397" t="s">
        <v>862</v>
      </c>
      <c r="BZ181" s="397" t="s">
        <v>863</v>
      </c>
      <c r="CA181" s="397" t="s">
        <v>864</v>
      </c>
      <c r="CB181" s="397" t="s">
        <v>865</v>
      </c>
      <c r="CC181" s="397" t="s">
        <v>866</v>
      </c>
      <c r="CD181" s="397" t="s">
        <v>867</v>
      </c>
      <c r="CE181" s="397" t="s">
        <v>868</v>
      </c>
      <c r="CF181" s="397" t="s">
        <v>869</v>
      </c>
      <c r="CG181" s="398" t="s">
        <v>728</v>
      </c>
      <c r="CH181" s="295"/>
    </row>
    <row r="182" spans="1:86" ht="12.75" customHeight="1" x14ac:dyDescent="0.2">
      <c r="A182" s="355" t="s">
        <v>747</v>
      </c>
      <c r="B182" s="364">
        <f>1/1000</f>
        <v>1E-3</v>
      </c>
      <c r="BB182" s="369" t="s">
        <v>596</v>
      </c>
      <c r="BC182" s="344" t="s">
        <v>444</v>
      </c>
      <c r="BD182" s="344" t="s">
        <v>711</v>
      </c>
      <c r="BE182" s="370">
        <v>200</v>
      </c>
      <c r="BF182" s="370">
        <v>100</v>
      </c>
      <c r="BG182" s="370">
        <v>80</v>
      </c>
      <c r="BH182" s="370">
        <v>60</v>
      </c>
      <c r="BI182" s="370">
        <v>40</v>
      </c>
      <c r="BJ182" s="370">
        <v>28</v>
      </c>
      <c r="BK182" s="371">
        <v>12</v>
      </c>
      <c r="BL182" s="276"/>
      <c r="BX182" s="379" t="s">
        <v>434</v>
      </c>
      <c r="BY182" s="399">
        <f t="array" ref="BY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12 et plus],MATCH(ChoixRationCaprins&amp;Ration_complète_caprins[[#This Row],[aliment]],Règles_caprins[Ration]&amp;Règles_caprins[Aliment],0)),0),0)*SUM(TotalBoucs)*SUM(AC76:AC100))</f>
        <v>0</v>
      </c>
      <c r="BZ182" s="399">
        <f t="array" ref="BZ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12 et plus],MATCH(ChoixRationCaprins&amp;Ration_complète_caprins[[#This Row],[aliment]],Règles_caprins[Ration]&amp;Règles_caprins[Aliment],0)),0),0)*SUM(TotalChèvres)*SUM(AC76:AC100))</f>
        <v>0</v>
      </c>
      <c r="CA182" s="399">
        <f t="array" ref="CA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6-12],MATCH(ChoixRationCaprins&amp;Ration_complète_caprins[[#This Row],[aliment]],Règles_caprins[Ration]&amp;Règles_caprins[Aliment],0)),0),0)*SUM(jeune_bouc_6_12_mois)*SUM(AC76:AC100))</f>
        <v>0</v>
      </c>
      <c r="CB182" s="399">
        <f t="array" ref="CB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6-12],MATCH(ChoixRationCaprins&amp;Ration_complète_caprins[[#This Row],[aliment]],Règles_caprins[Ration]&amp;Règles_caprins[Aliment],0)),0),0)*SUM(jeune_chèvre_6_12_mois)*SUM(AC76:AC100))</f>
        <v>0</v>
      </c>
      <c r="CC182" s="399">
        <f t="array" ref="CC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3-6],MATCH(ChoixRationCaprins&amp;Ration_complète_caprins[[#This Row],[aliment]],Règles_caprins[Ration]&amp;Règles_caprins[Aliment],0)),0),0)*SUM(chevreau_3_6_mois)*SUM(AC76:AC100))</f>
        <v>0</v>
      </c>
      <c r="CD182" s="400">
        <f t="array" ref="CD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3-6],MATCH(ChoixRationCaprins&amp;Ration_complète_caprins[[#This Row],[aliment]],Règles_caprins[Ration]&amp;Règles_caprins[Aliment],0)),0),0)*SUM(chevrette_3_6_mois)*SUM(AC76:AC100))</f>
        <v>0</v>
      </c>
      <c r="CE182" s="400">
        <f t="array" ref="CE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0-3],MATCH(ChoixRationCaprins&amp;Ration_complète_caprins[[#This Row],[aliment]],Règles_caprins[Ration]&amp;Règles_caprins[Aliment],0)),0),0)*SUM(chevreau_0_3_mois)*SUM(AC76:AC100))</f>
        <v>0</v>
      </c>
      <c r="CF182" s="400">
        <f t="array" ref="CF182">IF(ChoixRationComplèteCaprins=NON,0,IFERROR(IF(OR(AND(INDEX(Règles_caprins[Specificite],MATCH(ChoixRationCaprins&amp;Ration_complète_caprins[[#This Row],[aliment]],Règles_caprins[Ration]&amp;Règles_caprins[Aliment],0))="s1",IF(Ration_complète_caprins[[#This Row],[aliment]]=Spécificité1Caprins,1)),
AND(INDEX(Règles_caprins[Specificite],MATCH(ChoixRationCaprins&amp;Ration_complète_caprins[[#This Row],[aliment]],Règles_caprins[Ration]&amp;Règles_caprins[Aliment],0))="s2",IF(Ration_complète_caprins[[#This Row],[aliment]]=Spécificité1Caprins,1)),
INDEX(Règles_caprins[Specificite],MATCH(ChoixRationCaprins&amp;Ration_complète_caprins[[#This Row],[aliment]],Règles_caprins[Ration]&amp;Règles_caprins[Aliment],0))="c",INDEX(Règles_caprins[Specificite],MATCH(ChoixRationCaprins&amp;Ration_complète_caprins[[#This Row],[aliment]],Règles_caprins[Ration]&amp;Règles_caprins[Aliment],0))="complet"),
INDEX(Règles_caprins[Valeur 0-3],MATCH(ChoixRationCaprins&amp;Ration_complète_caprins[[#This Row],[aliment]],Règles_caprins[Ration]&amp;Règles_caprins[Aliment],0)),0),0)*SUM(chevrette_0_3_mois)*SUM(AC76:AC100))</f>
        <v>0</v>
      </c>
      <c r="CG182" s="401">
        <f>SUM(Ration_complète_caprins[[Valeur 12 et plus (M)]:[Valeur 0-3 (F)]])</f>
        <v>0</v>
      </c>
      <c r="CH182" s="295"/>
    </row>
    <row r="183" spans="1:86" ht="12.75" customHeight="1" x14ac:dyDescent="0.2">
      <c r="A183" s="355" t="s">
        <v>748</v>
      </c>
      <c r="B183" s="364">
        <f>1/1000</f>
        <v>1E-3</v>
      </c>
      <c r="BB183" s="369"/>
      <c r="BC183" s="344"/>
      <c r="BD183" s="344"/>
      <c r="BE183" s="370"/>
      <c r="BF183" s="370"/>
      <c r="BG183" s="370"/>
      <c r="BH183" s="370"/>
      <c r="BI183" s="370"/>
      <c r="BJ183" s="370"/>
      <c r="BK183" s="371"/>
      <c r="BL183" s="276"/>
      <c r="CH183" s="295"/>
    </row>
    <row r="184" spans="1:86" ht="12.75" customHeight="1" x14ac:dyDescent="0.2">
      <c r="A184" s="355" t="s">
        <v>147</v>
      </c>
      <c r="B184" s="364">
        <v>5</v>
      </c>
      <c r="BB184" s="369"/>
      <c r="BC184" s="344"/>
      <c r="BD184" s="344"/>
      <c r="BE184" s="370"/>
      <c r="BF184" s="370"/>
      <c r="BG184" s="370"/>
      <c r="BH184" s="370"/>
      <c r="BI184" s="370"/>
      <c r="BJ184" s="370"/>
      <c r="BK184" s="371"/>
      <c r="BL184" s="276"/>
      <c r="BX184" s="277"/>
      <c r="BY184" s="277"/>
      <c r="BZ184" s="277"/>
      <c r="CA184" s="277"/>
      <c r="CB184" s="277"/>
      <c r="CC184" s="277"/>
      <c r="CD184" s="295"/>
      <c r="CE184" s="295"/>
      <c r="CF184" s="295"/>
      <c r="CG184" s="295"/>
      <c r="CH184" s="295"/>
    </row>
    <row r="185" spans="1:86" ht="12.75" customHeight="1" x14ac:dyDescent="0.2">
      <c r="A185" s="355" t="s">
        <v>148</v>
      </c>
      <c r="B185" s="364">
        <v>5</v>
      </c>
      <c r="BB185" s="369"/>
      <c r="BC185" s="344"/>
      <c r="BD185" s="344"/>
      <c r="BE185" s="370"/>
      <c r="BF185" s="370"/>
      <c r="BG185" s="370"/>
      <c r="BH185" s="370"/>
      <c r="BI185" s="370"/>
      <c r="BJ185" s="370"/>
      <c r="BK185" s="371"/>
      <c r="BL185" s="276"/>
      <c r="BX185" s="329" t="s">
        <v>796</v>
      </c>
      <c r="BY185" s="229"/>
      <c r="BZ185" s="277"/>
      <c r="CA185" s="277"/>
      <c r="CB185" s="277"/>
      <c r="CC185" s="277"/>
      <c r="CD185" s="295"/>
      <c r="CE185" s="295"/>
      <c r="CF185" s="295"/>
      <c r="CG185" s="295"/>
      <c r="CH185" s="295"/>
    </row>
    <row r="186" spans="1:86" ht="12.75" customHeight="1" x14ac:dyDescent="0.2">
      <c r="A186" s="355" t="s">
        <v>145</v>
      </c>
      <c r="B186" s="364">
        <v>12</v>
      </c>
      <c r="BB186" s="369"/>
      <c r="BC186" s="344"/>
      <c r="BD186" s="344"/>
      <c r="BE186" s="370"/>
      <c r="BF186" s="370"/>
      <c r="BG186" s="370"/>
      <c r="BH186" s="370"/>
      <c r="BI186" s="370"/>
      <c r="BJ186" s="370"/>
      <c r="BK186" s="371"/>
      <c r="BL186" s="276"/>
      <c r="BX186" s="376" t="s">
        <v>754</v>
      </c>
      <c r="BY186" s="378" t="s">
        <v>756</v>
      </c>
      <c r="BZ186" s="277"/>
      <c r="CA186" s="277"/>
      <c r="CB186" s="277"/>
      <c r="CC186" s="277"/>
      <c r="CD186" s="295"/>
      <c r="CE186" s="295"/>
      <c r="CF186" s="295"/>
      <c r="CG186" s="295"/>
      <c r="CH186" s="295"/>
    </row>
    <row r="187" spans="1:86" ht="12.75" customHeight="1" x14ac:dyDescent="0.2">
      <c r="A187" s="355" t="s">
        <v>146</v>
      </c>
      <c r="B187" s="364">
        <v>9</v>
      </c>
      <c r="BB187" s="369"/>
      <c r="BC187" s="344"/>
      <c r="BD187" s="344"/>
      <c r="BE187" s="370"/>
      <c r="BF187" s="370"/>
      <c r="BG187" s="370"/>
      <c r="BH187" s="370"/>
      <c r="BI187" s="370"/>
      <c r="BJ187" s="370"/>
      <c r="BK187" s="371"/>
      <c r="BL187" s="276"/>
      <c r="BX187" s="402" t="s">
        <v>479</v>
      </c>
      <c r="BY187" s="390">
        <f>BZ25*TotalBoucs*SUM(AC76:AC100)</f>
        <v>0</v>
      </c>
      <c r="BZ187" s="277"/>
      <c r="CA187" s="277"/>
      <c r="CB187" s="277"/>
      <c r="CC187" s="277"/>
      <c r="CD187" s="295"/>
      <c r="CE187" s="295"/>
      <c r="CF187" s="295"/>
      <c r="CG187" s="295"/>
      <c r="CH187" s="295"/>
    </row>
    <row r="188" spans="1:86" ht="12.75" customHeight="1" x14ac:dyDescent="0.2">
      <c r="A188" s="355" t="s">
        <v>350</v>
      </c>
      <c r="B188" s="364">
        <v>3.0000000000000001E-3</v>
      </c>
      <c r="BB188" s="369"/>
      <c r="BC188" s="344"/>
      <c r="BD188" s="344"/>
      <c r="BE188" s="370"/>
      <c r="BF188" s="370"/>
      <c r="BG188" s="370"/>
      <c r="BH188" s="370"/>
      <c r="BI188" s="370"/>
      <c r="BJ188" s="370"/>
      <c r="BK188" s="371"/>
      <c r="BL188" s="276"/>
      <c r="BX188" s="402" t="s">
        <v>480</v>
      </c>
      <c r="BY188" s="390">
        <f>BZ26*TotalChèvres*SUM(AC76:AC100)</f>
        <v>0</v>
      </c>
      <c r="BZ188" s="294"/>
      <c r="CA188" s="294"/>
      <c r="CB188" s="294"/>
      <c r="CC188" s="294"/>
      <c r="CD188" s="295"/>
      <c r="CE188" s="295"/>
      <c r="CF188" s="295"/>
      <c r="CG188" s="295"/>
      <c r="CH188" s="295"/>
    </row>
    <row r="189" spans="1:86" ht="12.75" customHeight="1" x14ac:dyDescent="0.2">
      <c r="A189" s="355" t="s">
        <v>351</v>
      </c>
      <c r="B189" s="364">
        <v>2E-3</v>
      </c>
      <c r="BB189" s="369"/>
      <c r="BC189" s="344"/>
      <c r="BD189" s="344"/>
      <c r="BE189" s="370"/>
      <c r="BF189" s="370"/>
      <c r="BG189" s="370"/>
      <c r="BH189" s="370"/>
      <c r="BI189" s="370"/>
      <c r="BJ189" s="370"/>
      <c r="BK189" s="371"/>
      <c r="BL189" s="276"/>
      <c r="BX189" s="402" t="s">
        <v>481</v>
      </c>
      <c r="BY189" s="390">
        <f>BZ27*SUM(TotalJeunesCaprins)*SUM(AC76:AC100)</f>
        <v>0</v>
      </c>
      <c r="BZ189" s="277"/>
      <c r="CA189" s="277"/>
      <c r="CB189" s="277"/>
      <c r="CC189" s="277"/>
      <c r="CD189" s="295"/>
      <c r="CE189" s="295"/>
      <c r="CF189" s="295"/>
      <c r="CG189" s="295"/>
      <c r="CH189" s="295"/>
    </row>
    <row r="190" spans="1:86" ht="12.75" customHeight="1" x14ac:dyDescent="0.2">
      <c r="A190" s="358" t="s">
        <v>352</v>
      </c>
      <c r="B190" s="365">
        <v>3.0000000000000001E-3</v>
      </c>
      <c r="BB190" s="372"/>
      <c r="BC190" s="373"/>
      <c r="BD190" s="373"/>
      <c r="BE190" s="374"/>
      <c r="BF190" s="374"/>
      <c r="BG190" s="374"/>
      <c r="BH190" s="374"/>
      <c r="BI190" s="374"/>
      <c r="BJ190" s="374"/>
      <c r="BK190" s="375"/>
      <c r="BL190" s="276"/>
      <c r="BX190" s="402" t="s">
        <v>482</v>
      </c>
      <c r="BY190" s="390"/>
      <c r="BZ190" s="277"/>
      <c r="CA190" s="277"/>
      <c r="CB190" s="277"/>
      <c r="CC190" s="277"/>
      <c r="CD190" s="295"/>
      <c r="CE190" s="295"/>
      <c r="CF190" s="295"/>
      <c r="CG190" s="295"/>
      <c r="CH190" s="295"/>
    </row>
    <row r="191" spans="1:86" ht="12.75" customHeight="1" x14ac:dyDescent="0.2">
      <c r="BK191" s="276"/>
      <c r="BL191" s="276"/>
      <c r="BX191" s="402" t="s">
        <v>483</v>
      </c>
      <c r="BY191" s="390">
        <f>BZ29*SUM(TotalChevreaux)*SUM(AC76:AC100)</f>
        <v>0</v>
      </c>
      <c r="BZ191" s="277"/>
      <c r="CA191" s="277"/>
      <c r="CB191" s="277"/>
      <c r="CC191" s="277"/>
      <c r="CD191" s="295"/>
      <c r="CE191" s="295"/>
      <c r="CF191" s="295"/>
      <c r="CG191" s="295"/>
      <c r="CH191" s="295"/>
    </row>
    <row r="192" spans="1:86" ht="12.75" customHeight="1" x14ac:dyDescent="0.2">
      <c r="BB192" s="229" t="s">
        <v>879</v>
      </c>
      <c r="BC192" s="229"/>
      <c r="BD192" s="229"/>
      <c r="BE192" s="229"/>
      <c r="BF192" s="229"/>
      <c r="BG192" s="229"/>
      <c r="BH192" s="229"/>
      <c r="BI192" s="229"/>
      <c r="BJ192" s="229"/>
      <c r="BK192" s="276"/>
      <c r="BL192" s="276"/>
      <c r="BX192" s="403" t="s">
        <v>757</v>
      </c>
      <c r="BY192" s="404">
        <f>IF(ChoixPaillageCaprins=OUI,SUBTOTAL(109,LitièreCaprins[Litière]),0)</f>
        <v>0</v>
      </c>
      <c r="BZ192" s="277"/>
      <c r="CA192" s="277"/>
      <c r="CB192" s="277"/>
      <c r="CC192" s="277"/>
      <c r="CD192" s="295"/>
      <c r="CE192" s="295"/>
      <c r="CF192" s="295"/>
      <c r="CG192" s="295"/>
      <c r="CH192" s="295"/>
    </row>
    <row r="193" spans="1:86" ht="12.75" customHeight="1" x14ac:dyDescent="0.2">
      <c r="BB193" s="331" t="s">
        <v>734</v>
      </c>
      <c r="BC193" s="331" t="s">
        <v>727</v>
      </c>
      <c r="BD193" s="331" t="s">
        <v>726</v>
      </c>
      <c r="BE193" s="331" t="s">
        <v>725</v>
      </c>
      <c r="BF193" s="331" t="s">
        <v>724</v>
      </c>
      <c r="BG193" s="331" t="s">
        <v>723</v>
      </c>
      <c r="BH193" s="331" t="s">
        <v>722</v>
      </c>
      <c r="BI193" s="331" t="s">
        <v>721</v>
      </c>
      <c r="BJ193" s="331" t="s">
        <v>728</v>
      </c>
      <c r="BK193" s="276"/>
      <c r="BL193" s="276"/>
      <c r="BX193" s="277"/>
      <c r="BY193" s="277"/>
      <c r="BZ193" s="277"/>
      <c r="CA193" s="277"/>
      <c r="CB193" s="277"/>
      <c r="CC193" s="277"/>
      <c r="CD193" s="295"/>
      <c r="CE193" s="295"/>
      <c r="CF193" s="295"/>
      <c r="CG193" s="295"/>
      <c r="CH193" s="295"/>
    </row>
    <row r="194" spans="1:86" ht="12.75" customHeight="1" x14ac:dyDescent="0.2">
      <c r="BB194" s="332" t="s">
        <v>384</v>
      </c>
      <c r="BC194" s="333">
        <f t="array" ref="BC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36 et plus],MATCH(ChoixRationBovins&amp;$BB194,Règles_bovins[Ration]&amp;Règles_bovins[Aliment],0)),0),0)*IF(ChoixBovinsPréHiver=OUI,TotalTaureauxRacesLaitières,TotalTaureaux*NbreJoursNourrirBovins))</f>
        <v>0</v>
      </c>
      <c r="BD194" s="333">
        <f t="array" ref="BD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24-36],MATCH(ChoixRationBovins&amp;$BB194,Règles_bovins[Ration]&amp;Règles_bovins[Aliment],0)),0),0)*IF(ChoixBovinsPréHiver=OUI,TotalTaurillon_24_36_RacesLaitières,TotalBovinsMâles_24_36mois*NbreJoursNourrirBovins))</f>
        <v>0</v>
      </c>
      <c r="BE194" s="333">
        <f t="array" ref="BE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18-24],MATCH(ChoixRationBovins&amp;$BB194,Règles_bovins[Ration]&amp;Règles_bovins[Aliment],0)),0),0)*IF(ChoixBovinsPréHiver=OUI,TotalTaurillon_18_24_RacesLaitières,TotalBovinsMâles_18_24mois*NbreJoursNourrirBovins))</f>
        <v>0</v>
      </c>
      <c r="BF194" s="333">
        <f t="array" ref="BF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12-18],MATCH(ChoixRationBovins&amp;$BB194,Règles_bovins[Ration]&amp;Règles_bovins[Aliment],0)),0),0)*IF(ChoixBovinsPréHiver=OUI,animaux!D14,TotalBovinsMâles_12_18mois*NbreJoursNourrirBovins))</f>
        <v>0</v>
      </c>
      <c r="BG194" s="333">
        <f t="array" ref="BG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6-12],MATCH(ChoixRationBovins&amp;$BB194,Règles_bovins[Ration]&amp;Règles_bovins[Aliment],0)),0),0)*IF(ChoixBovinsPréHiver=OUI,TotalVeauMâle_6_12_RacesLaitières,TotalBovinsMâles_6_12mois*NbreJoursNourrirBovins))</f>
        <v>0</v>
      </c>
      <c r="BH194" s="333">
        <f t="array" ref="BH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3-6],MATCH(ChoixRationBovins&amp;$BB194,Règles_bovins[Ration]&amp;Règles_bovins[Aliment],0)),0),0)*IF(ChoixBovinsPréHiver=OUI,TotalVeauMâle_3_6_RacesLaitières,TotalBovinsMâles_3_6mois*NbreJoursNourrirBovins))</f>
        <v>0</v>
      </c>
      <c r="BI194" s="333">
        <f t="array" ref="BI194">IF(Ration_complète_bovins[somme]&gt;0,0,IFERROR(IF(OR(AND(INDEX(Règles_bovins[Specificite],MATCH(ChoixRationBovins&amp;$BB194,Règles_bovins[Ration]&amp;Règles_bovins[Aliment],0))="s1",IF($BB194=Spécificité1Bovins,1)),
AND(INDEX(Règles_bovins[Specificite],MATCH(ChoixRationBovins&amp;$BB194,Règles_bovins[Ration]&amp;Règles_bovins[Aliment],0))="s2",IF($BB194=Spécificité2Bovins,1)),
INDEX(Règles_bovins[Specificite],MATCH(ChoixRationBovins&amp;$BB194,Règles_bovins[Ration]&amp;Règles_bovins[Aliment],0))="c"),
INDEX(Règles_bovins[Valeur 0-3],MATCH(ChoixRationBovins&amp;$BB194,Règles_bovins[Ration]&amp;Règles_bovins[Aliment],0)),0),0)*IF(ChoixBovinsPréHiver=OUI,TotalVeauMâle_0_3_RacesLaitières,TotalBovinsMâles_0_3mois*NbreJoursNourrirBovins))</f>
        <v>0</v>
      </c>
      <c r="BJ194" s="334">
        <f t="shared" ref="BJ194:BJ232" si="13">SUM($BC194:$BI194)</f>
        <v>0</v>
      </c>
      <c r="BK194" s="276"/>
      <c r="BL194" s="276"/>
      <c r="BX194" s="229" t="s">
        <v>887</v>
      </c>
      <c r="BY194" s="229"/>
      <c r="BZ194" s="229"/>
      <c r="CA194" s="229"/>
      <c r="CB194" s="277"/>
      <c r="CC194" s="277"/>
      <c r="CD194" s="295"/>
      <c r="CE194" s="295"/>
      <c r="CF194" s="295"/>
      <c r="CG194" s="295"/>
      <c r="CH194" s="295"/>
    </row>
    <row r="195" spans="1:86" ht="12.75" customHeight="1" x14ac:dyDescent="0.2">
      <c r="BB195" s="332" t="s">
        <v>297</v>
      </c>
      <c r="BC195" s="333">
        <f t="array" ref="BC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36 et plus],MATCH(ChoixRationBovins&amp;$BB195,Règles_bovins[Ration]&amp;Règles_bovins[Aliment],0)),0),0)*IF(ChoixBovinsPréHiver=OUI,TotalTaureauxRacesLaitières,TotalTaureaux*NbreJoursNourrirBovins))</f>
        <v>0</v>
      </c>
      <c r="BD195" s="333">
        <f t="array" ref="BD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24-36],MATCH(ChoixRationBovins&amp;$BB195,Règles_bovins[Ration]&amp;Règles_bovins[Aliment],0)),0),0)*IF(ChoixBovinsPréHiver=OUI,TotalTaurillon_24_36_RacesLaitières,TotalBovinsMâles_24_36mois*NbreJoursNourrirBovins))</f>
        <v>0</v>
      </c>
      <c r="BE195" s="333">
        <f t="array" ref="BE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18-24],MATCH(ChoixRationBovins&amp;$BB195,Règles_bovins[Ration]&amp;Règles_bovins[Aliment],0)),0),0)*IF(ChoixBovinsPréHiver=OUI,TotalTaurillon_18_24_RacesLaitières,TotalBovinsMâles_18_24mois*NbreJoursNourrirBovins))</f>
        <v>0</v>
      </c>
      <c r="BF195" s="333">
        <f t="array" ref="BF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12-18],MATCH(ChoixRationBovins&amp;$BB195,Règles_bovins[Ration]&amp;Règles_bovins[Aliment],0)),0),0)*IF(ChoixBovinsPréHiver=OUI,animaux!D15,TotalBovinsMâles_12_18mois*NbreJoursNourrirBovins))</f>
        <v>0</v>
      </c>
      <c r="BG195" s="333">
        <f t="array" ref="BG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6-12],MATCH(ChoixRationBovins&amp;$BB195,Règles_bovins[Ration]&amp;Règles_bovins[Aliment],0)),0),0)*IF(ChoixBovinsPréHiver=OUI,TotalVeauMâle_6_12_RacesLaitières,TotalBovinsMâles_6_12mois*NbreJoursNourrirBovins))</f>
        <v>0</v>
      </c>
      <c r="BH195" s="333">
        <f t="array" ref="BH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3-6],MATCH(ChoixRationBovins&amp;$BB195,Règles_bovins[Ration]&amp;Règles_bovins[Aliment],0)),0),0)*IF(ChoixBovinsPréHiver=OUI,TotalVeauMâle_3_6_RacesLaitières,TotalBovinsMâles_3_6mois*NbreJoursNourrirBovins))</f>
        <v>0</v>
      </c>
      <c r="BI195" s="333">
        <f t="array" ref="BI195">IF(Ration_complète_bovins[somme]&gt;0,0,IFERROR(IF(OR(AND(INDEX(Règles_bovins[Specificite],MATCH(ChoixRationBovins&amp;$BB195,Règles_bovins[Ration]&amp;Règles_bovins[Aliment],0))="s1",IF($BB195=Spécificité1Bovins,1)),
AND(INDEX(Règles_bovins[Specificite],MATCH(ChoixRationBovins&amp;$BB195,Règles_bovins[Ration]&amp;Règles_bovins[Aliment],0))="s2",IF($BB195=Spécificité2Bovins,1)),
INDEX(Règles_bovins[Specificite],MATCH(ChoixRationBovins&amp;$BB195,Règles_bovins[Ration]&amp;Règles_bovins[Aliment],0))="c"),
INDEX(Règles_bovins[Valeur 0-3],MATCH(ChoixRationBovins&amp;$BB195,Règles_bovins[Ration]&amp;Règles_bovins[Aliment],0)),0),0)*IF(ChoixBovinsPréHiver=OUI,TotalVeauMâle_0_3_RacesLaitières,TotalBovinsMâles_0_3mois*NbreJoursNourrirBovins))</f>
        <v>0</v>
      </c>
      <c r="BJ195" s="334">
        <f t="shared" si="13"/>
        <v>0</v>
      </c>
      <c r="BK195" s="276"/>
      <c r="BL195" s="276"/>
      <c r="BX195" s="331" t="s">
        <v>734</v>
      </c>
      <c r="BY195" s="335" t="s">
        <v>884</v>
      </c>
      <c r="BZ195" s="335" t="s">
        <v>885</v>
      </c>
      <c r="CA195" s="335" t="s">
        <v>886</v>
      </c>
      <c r="CB195" s="277"/>
      <c r="CC195" s="277"/>
      <c r="CD195" s="295"/>
      <c r="CE195" s="295"/>
      <c r="CF195" s="295"/>
      <c r="CG195" s="295"/>
      <c r="CH195" s="295"/>
    </row>
    <row r="196" spans="1:86" ht="12.75" customHeight="1" x14ac:dyDescent="0.2">
      <c r="BB196" s="332" t="s">
        <v>160</v>
      </c>
      <c r="BC196" s="333">
        <f t="array" ref="BC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36 et plus],MATCH(ChoixRationBovins&amp;$BB196,Règles_bovins[Ration]&amp;Règles_bovins[Aliment],0)),0),0)*IF(ChoixBovinsPréHiver=OUI,TotalTaureauxRacesLaitières,TotalTaureaux*NbreJoursNourrirBovins))</f>
        <v>0</v>
      </c>
      <c r="BD196" s="333">
        <f t="array" ref="BD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24-36],MATCH(ChoixRationBovins&amp;$BB196,Règles_bovins[Ration]&amp;Règles_bovins[Aliment],0)),0),0)*IF(ChoixBovinsPréHiver=OUI,TotalTaurillon_24_36_RacesLaitières,TotalBovinsMâles_24_36mois*NbreJoursNourrirBovins))</f>
        <v>0</v>
      </c>
      <c r="BE196" s="333">
        <f t="array" ref="BE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18-24],MATCH(ChoixRationBovins&amp;$BB196,Règles_bovins[Ration]&amp;Règles_bovins[Aliment],0)),0),0)*IF(ChoixBovinsPréHiver=OUI,TotalTaurillon_18_24_RacesLaitières,TotalBovinsMâles_18_24mois*NbreJoursNourrirBovins))</f>
        <v>0</v>
      </c>
      <c r="BF196" s="333">
        <f t="array" ref="BF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12-18],MATCH(ChoixRationBovins&amp;$BB196,Règles_bovins[Ration]&amp;Règles_bovins[Aliment],0)),0),0)*IF(ChoixBovinsPréHiver=OUI,animaux!D16,TotalBovinsMâles_12_18mois*NbreJoursNourrirBovins))</f>
        <v>0</v>
      </c>
      <c r="BG196" s="333">
        <f t="array" ref="BG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6-12],MATCH(ChoixRationBovins&amp;$BB196,Règles_bovins[Ration]&amp;Règles_bovins[Aliment],0)),0),0)*IF(ChoixBovinsPréHiver=OUI,TotalVeauMâle_6_12_RacesLaitières,TotalBovinsMâles_6_12mois*NbreJoursNourrirBovins))</f>
        <v>0</v>
      </c>
      <c r="BH196" s="333">
        <f t="array" ref="BH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3-6],MATCH(ChoixRationBovins&amp;$BB196,Règles_bovins[Ration]&amp;Règles_bovins[Aliment],0)),0),0)*IF(ChoixBovinsPréHiver=OUI,TotalVeauMâle_3_6_RacesLaitières,TotalBovinsMâles_3_6mois*NbreJoursNourrirBovins))</f>
        <v>0</v>
      </c>
      <c r="BI196" s="333">
        <f t="array" ref="BI196">IF(Ration_complète_bovins[somme]&gt;0,0,IFERROR(IF(OR(AND(INDEX(Règles_bovins[Specificite],MATCH(ChoixRationBovins&amp;$BB196,Règles_bovins[Ration]&amp;Règles_bovins[Aliment],0))="s1",IF($BB196=Spécificité1Bovins,1)),
AND(INDEX(Règles_bovins[Specificite],MATCH(ChoixRationBovins&amp;$BB196,Règles_bovins[Ration]&amp;Règles_bovins[Aliment],0))="s2",IF($BB196=Spécificité2Bovins,1)),
INDEX(Règles_bovins[Specificite],MATCH(ChoixRationBovins&amp;$BB196,Règles_bovins[Ration]&amp;Règles_bovins[Aliment],0))="c"),
INDEX(Règles_bovins[Valeur 0-3],MATCH(ChoixRationBovins&amp;$BB196,Règles_bovins[Ration]&amp;Règles_bovins[Aliment],0)),0),0)*IF(ChoixBovinsPréHiver=OUI,TotalVeauMâle_0_3_RacesLaitières,TotalBovinsMâles_0_3mois*NbreJoursNourrirBovins))</f>
        <v>0</v>
      </c>
      <c r="BJ196" s="334">
        <f t="shared" si="13"/>
        <v>0</v>
      </c>
      <c r="BK196" s="276"/>
      <c r="BL196" s="276"/>
      <c r="BX196" s="332" t="str">
        <f>BX106</f>
        <v>Avoine</v>
      </c>
      <c r="BY196" s="333">
        <f t="array" ref="BY196">SUM((IF(QualitéAlimentsChevreau_0_3_mois=BONNE,VLOOKUP("Avoine",AlimentsRationCaprinsMâles,5,FALSE),0)+(IF(QualitéAlimentsChevrette_0_3_mois=BONNE,VLOOKUP("Avoine",AlimentsRationCaprinsFemelles,5,FALSE),0)+(IF(QualitéAlimentsChevreau_3_6_mois=BONNE,VLOOKUP("Avoine",AlimentsRationCaprinsMâles,4,FALSE),0)+(IF(QualitéAlimentsChevrette_3_6_mois=BONNE,VLOOKUP("Avoine",AlimentsRationCaprinsFemelles,4,FALSE),0)+(IF(QualitéAlimentsJeuneBouc=BONNE,VLOOKUP("Avoine",AlimentsRationCaprinsMâles,3,FALSE),0)+(IF(QualitéAlimentsJeuneChèvre=BONNE,VLOOKUP("Avoine",AlimentsRationCaprinsFemelles,3,FALSE),0)+(IF(QualitéAlimentsBouc=BONNE,VLOOKUP("Avoine",AlimentsRationCaprinsMâles,2,FALSE),0)+(IF(QualitéAlimentsChèvre=BONNE,VLOOKUP("Avoine",AlimentsRationCaprinsFemelles,2,FALSE),0))))))))))</f>
        <v>0</v>
      </c>
      <c r="BZ196" s="333">
        <f t="array" ref="BZ196">SUM((IF(QualitéAlimentsChevreau_0_3_mois=MOYENNE,VLOOKUP("Avoine",AlimentsRationCaprinsMâles,5,FALSE),0)+(IF(QualitéAlimentsChevrette_0_3_mois=MOYENNE,VLOOKUP("Avoine",AlimentsRationCaprinsFemelles,5,FALSE),0)+(IF(QualitéAlimentsChevreau_3_6_mois=MOYENNE,VLOOKUP("Avoine",AlimentsRationCaprinsMâles,4,FALSE),0)+(IF(QualitéAlimentsChevrette_3_6_mois=MOYENNE,VLOOKUP("Avoine",AlimentsRationCaprinsFemelles,4,FALSE),0)+(IF(QualitéAlimentsJeuneBouc=MOYENNE,VLOOKUP("Avoine",AlimentsRationCaprinsMâles,3,FALSE),0)+(IF(QualitéAlimentsJeuneChèvre=MOYENNE,VLOOKUP("Avoine",AlimentsRationCaprinsFemelles,3,FALSE),0)+(IF(QualitéAlimentsBouc=MOYENNE,VLOOKUP("Avoine",AlimentsRationCaprinsMâles,2,FALSE),0)+(IF(QualitéAlimentsChèvre=MOYENNE,VLOOKUP("Avoine",AlimentsRationCaprinsFemelles,2,FALSE),0))))))))))</f>
        <v>0</v>
      </c>
      <c r="CA196" s="333">
        <f t="array" ref="CA196">SUM((IF(QualitéAlimentsChevreau_0_3_mois=MAUVAISE,VLOOKUP("Avoine",AlimentsRationCaprinsMâles,5,FALSE),0)+(IF(QualitéAlimentsChevrette_0_3_mois=MAUVAISE,VLOOKUP("Avoine",AlimentsRationCaprinsFemelles,5,FALSE),0)+(IF(QualitéAlimentsChevreau_3_6_mois=MAUVAISE,VLOOKUP("Avoine",AlimentsRationCaprinsMâles,4,FALSE),0)+(IF(QualitéAlimentsChevrette_3_6_mois=MAUVAISE,VLOOKUP("Avoine",AlimentsRationCaprinsFemelles,4,FALSE),0)+(IF(QualitéAlimentsJeuneBouc=MAUVAISE,VLOOKUP("Avoine",AlimentsRationCaprinsMâles,3,FALSE),0)+(IF(QualitéAlimentsJeuneChèvre=MAUVAISE,VLOOKUP("Avoine",AlimentsRationCaprinsFemelles,3,FALSE),0)+(IF(QualitéAlimentsBouc=MAUVAISE,VLOOKUP("Avoine",AlimentsRationCaprinsMâles,2,FALSE),0)+(IF(QualitéAlimentsChèvre=MAUVAISE,VLOOKUP("Avoine",AlimentsRationCaprinsFemelles,2,FALSE),0))))))))))</f>
        <v>0</v>
      </c>
      <c r="CB196" s="277"/>
      <c r="CC196" s="277"/>
      <c r="CD196" s="295"/>
      <c r="CE196" s="295"/>
      <c r="CF196" s="295"/>
      <c r="CG196" s="295"/>
      <c r="CH196" s="295"/>
    </row>
    <row r="197" spans="1:86" ht="12.75" customHeight="1" x14ac:dyDescent="0.2">
      <c r="BB197" s="332" t="s">
        <v>441</v>
      </c>
      <c r="BC197" s="333">
        <f t="array" ref="BC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36 et plus],MATCH(ChoixRationBovins&amp;$BB197,Règles_bovins[Ration]&amp;Règles_bovins[Aliment],0)),0),0)*IF(ChoixBovinsPréHiver=OUI,TotalTaureauxRacesLaitières,TotalTaureaux*NbreJoursNourrirBovins))</f>
        <v>0</v>
      </c>
      <c r="BD197" s="333">
        <f t="array" ref="BD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24-36],MATCH(ChoixRationBovins&amp;$BB197,Règles_bovins[Ration]&amp;Règles_bovins[Aliment],0)),0),0)*IF(ChoixBovinsPréHiver=OUI,TotalTaurillon_24_36_RacesLaitières,TotalBovinsMâles_24_36mois*NbreJoursNourrirBovins))</f>
        <v>0</v>
      </c>
      <c r="BE197" s="333">
        <f t="array" ref="BE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18-24],MATCH(ChoixRationBovins&amp;$BB197,Règles_bovins[Ration]&amp;Règles_bovins[Aliment],0)),0),0)*IF(ChoixBovinsPréHiver=OUI,TotalTaurillon_18_24_RacesLaitières,TotalBovinsMâles_18_24mois*NbreJoursNourrirBovins))</f>
        <v>0</v>
      </c>
      <c r="BF197" s="333">
        <f t="array" ref="BF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12-18],MATCH(ChoixRationBovins&amp;$BB197,Règles_bovins[Ration]&amp;Règles_bovins[Aliment],0)),0),0)*IF(ChoixBovinsPréHiver=OUI,animaux!D17,TotalBovinsMâles_12_18mois*NbreJoursNourrirBovins))</f>
        <v>0</v>
      </c>
      <c r="BG197" s="333">
        <f t="array" ref="BG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6-12],MATCH(ChoixRationBovins&amp;$BB197,Règles_bovins[Ration]&amp;Règles_bovins[Aliment],0)),0),0)*IF(ChoixBovinsPréHiver=OUI,TotalVeauMâle_6_12_RacesLaitières,TotalBovinsMâles_6_12mois*NbreJoursNourrirBovins))</f>
        <v>0</v>
      </c>
      <c r="BH197" s="333">
        <f t="array" ref="BH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3-6],MATCH(ChoixRationBovins&amp;$BB197,Règles_bovins[Ration]&amp;Règles_bovins[Aliment],0)),0),0)*IF(ChoixBovinsPréHiver=OUI,TotalVeauMâle_3_6_RacesLaitières,TotalBovinsMâles_3_6mois*NbreJoursNourrirBovins))</f>
        <v>0</v>
      </c>
      <c r="BI197" s="333">
        <f t="array" ref="BI197">IF(Ration_complète_bovins[somme]&gt;0,0,IFERROR(IF(OR(AND(INDEX(Règles_bovins[Specificite],MATCH(ChoixRationBovins&amp;$BB197,Règles_bovins[Ration]&amp;Règles_bovins[Aliment],0))="s1",IF($BB197=Spécificité1Bovins,1)),
AND(INDEX(Règles_bovins[Specificite],MATCH(ChoixRationBovins&amp;$BB197,Règles_bovins[Ration]&amp;Règles_bovins[Aliment],0))="s2",IF($BB197=Spécificité2Bovins,1)),
INDEX(Règles_bovins[Specificite],MATCH(ChoixRationBovins&amp;$BB197,Règles_bovins[Ration]&amp;Règles_bovins[Aliment],0))="c"),
INDEX(Règles_bovins[Valeur 0-3],MATCH(ChoixRationBovins&amp;$BB197,Règles_bovins[Ration]&amp;Règles_bovins[Aliment],0)),0),0)*IF(ChoixBovinsPréHiver=OUI,TotalVeauMâle_0_3_RacesLaitières,TotalBovinsMâles_0_3mois*NbreJoursNourrirBovins))</f>
        <v>0</v>
      </c>
      <c r="BJ197" s="334">
        <f t="shared" si="13"/>
        <v>0</v>
      </c>
      <c r="BK197" s="276"/>
      <c r="BL197" s="276"/>
      <c r="BX197" s="332" t="str">
        <f t="shared" ref="BX197:BX231" si="14">BX107</f>
        <v>Betterave</v>
      </c>
      <c r="BY197" s="333">
        <f t="array" ref="BY197">SUM((IF(QualitéAlimentsChevreau_0_3_mois=BONNE,VLOOKUP("Betterave",AlimentsRationCaprinsMâles,5,FALSE),0)+(IF(QualitéAlimentsChevrette_0_3_mois=BONNE,VLOOKUP("Betterave",AlimentsRationCaprinsFemelles,5,FALSE),0)+(IF(QualitéAlimentsChevreau_3_6_mois=BONNE,VLOOKUP("Betterave",AlimentsRationCaprinsMâles,4,FALSE),0)+(IF(QualitéAlimentsChevrette_3_6_mois=BONNE,VLOOKUP("Betterave",AlimentsRationCaprinsFemelles,4,FALSE),0)+(IF(QualitéAlimentsJeuneBouc=BONNE,VLOOKUP("Betterave",AlimentsRationCaprinsMâles,3,FALSE),0)+(IF(QualitéAlimentsJeuneChèvre=BONNE,VLOOKUP("Betterave",AlimentsRationCaprinsFemelles,3,FALSE),0)+(IF(QualitéAlimentsBouc=BONNE,VLOOKUP("Betterave",AlimentsRationCaprinsMâles,2,FALSE),0)+(IF(QualitéAlimentsChèvre=BONNE,VLOOKUP("Betterave",AlimentsRationCaprinsFemelles,2,FALSE),0))))))))))</f>
        <v>0</v>
      </c>
      <c r="BZ197" s="333">
        <f t="array" ref="BZ197">SUM((IF(QualitéAlimentsChevreau_0_3_mois=MOYENNE,VLOOKUP("Betterave",AlimentsRationCaprinsMâles,5,FALSE),0)+(IF(QualitéAlimentsChevrette_0_3_mois=MOYENNE,VLOOKUP("Betterave",AlimentsRationCaprinsFemelles,5,FALSE),0)+(IF(QualitéAlimentsChevreau_3_6_mois=MOYENNE,VLOOKUP("Betterave",AlimentsRationCaprinsMâles,4,FALSE),0)+(IF(QualitéAlimentsChevrette_3_6_mois=MOYENNE,VLOOKUP("Betterave",AlimentsRationCaprinsFemelles,4,FALSE),0)+(IF(QualitéAlimentsJeuneBouc=MOYENNE,VLOOKUP("Betterave",AlimentsRationCaprinsMâles,3,FALSE),0)+(IF(QualitéAlimentsJeuneChèvre=MOYENNE,VLOOKUP("Betterave",AlimentsRationCaprinsFemelles,3,FALSE),0)+(IF(QualitéAlimentsBouc=MOYENNE,VLOOKUP("Betterave",AlimentsRationCaprinsMâles,2,FALSE),0)+(IF(QualitéAlimentsChèvre=MOYENNE,VLOOKUP("Betterave",AlimentsRationCaprinsFemelles,2,FALSE),0))))))))))</f>
        <v>0</v>
      </c>
      <c r="CA197" s="333">
        <f t="array" ref="CA197">SUM((IF(QualitéAlimentsChevreau_0_3_mois=MAUVAISE,VLOOKUP("Betterave",AlimentsRationCaprinsMâles,5,FALSE),0)+(IF(QualitéAlimentsChevrette_0_3_mois=MAUVAISE,VLOOKUP("Betterave",AlimentsRationCaprinsFemelles,5,FALSE),0)+(IF(QualitéAlimentsChevreau_3_6_mois=MAUVAISE,VLOOKUP("Betterave",AlimentsRationCaprinsMâles,4,FALSE),0)+(IF(QualitéAlimentsChevrette_3_6_mois=MAUVAISE,VLOOKUP("Betterave",AlimentsRationCaprinsFemelles,4,FALSE),0)+(IF(QualitéAlimentsJeuneBouc=MAUVAISE,VLOOKUP("Betterave",AlimentsRationCaprinsMâles,3,FALSE),0)+(IF(QualitéAlimentsJeuneChèvre=MAUVAISE,VLOOKUP("Betterave",AlimentsRationCaprinsFemelles,3,FALSE),0)+(IF(QualitéAlimentsBouc=MAUVAISE,VLOOKUP("Betterave",AlimentsRationCaprinsMâles,2,FALSE),0)+(IF(QualitéAlimentsChèvre=MAUVAISE,VLOOKUP("Betterave",AlimentsRationCaprinsFemelles,2,FALSE),0))))))))))</f>
        <v>0</v>
      </c>
      <c r="CB197" s="277"/>
      <c r="CC197" s="277"/>
      <c r="CD197" s="295"/>
      <c r="CE197" s="295"/>
      <c r="CF197" s="295"/>
      <c r="CG197" s="295"/>
      <c r="CH197" s="295"/>
    </row>
    <row r="198" spans="1:86" ht="12.75" customHeight="1" x14ac:dyDescent="0.2">
      <c r="BB198" s="332" t="s">
        <v>729</v>
      </c>
      <c r="BC198" s="333">
        <f t="array" ref="BC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36 et plus],MATCH(ChoixRationBovins&amp;$BB198,Règles_bovins[Ration]&amp;Règles_bovins[Aliment],0)),0),0)*IF(ChoixBovinsPréHiver=OUI,TotalTaureauxRacesLaitières,TotalTaureaux*NbreJoursNourrirBovins))</f>
        <v>0</v>
      </c>
      <c r="BD198" s="333">
        <f t="array" ref="BD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24-36],MATCH(ChoixRationBovins&amp;$BB198,Règles_bovins[Ration]&amp;Règles_bovins[Aliment],0)),0),0)*IF(ChoixBovinsPréHiver=OUI,TotalTaurillon_24_36_RacesLaitières,TotalBovinsMâles_24_36mois*NbreJoursNourrirBovins))</f>
        <v>0</v>
      </c>
      <c r="BE198" s="333">
        <f t="array" ref="BE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18-24],MATCH(ChoixRationBovins&amp;$BB198,Règles_bovins[Ration]&amp;Règles_bovins[Aliment],0)),0),0)*IF(ChoixBovinsPréHiver=OUI,TotalTaurillon_18_24_RacesLaitières,TotalBovinsMâles_18_24mois*NbreJoursNourrirBovins))</f>
        <v>0</v>
      </c>
      <c r="BF198" s="333">
        <f t="array" ref="BF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12-18],MATCH(ChoixRationBovins&amp;$BB198,Règles_bovins[Ration]&amp;Règles_bovins[Aliment],0)),0),0)*IF(ChoixBovinsPréHiver=OUI,animaux!D18,TotalBovinsMâles_12_18mois*NbreJoursNourrirBovins))</f>
        <v>0</v>
      </c>
      <c r="BG198" s="333">
        <f t="array" ref="BG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6-12],MATCH(ChoixRationBovins&amp;$BB198,Règles_bovins[Ration]&amp;Règles_bovins[Aliment],0)),0),0)*IF(ChoixBovinsPréHiver=OUI,TotalVeauMâle_6_12_RacesLaitières,TotalBovinsMâles_6_12mois*NbreJoursNourrirBovins))</f>
        <v>0</v>
      </c>
      <c r="BH198" s="333">
        <f t="array" ref="BH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3-6],MATCH(ChoixRationBovins&amp;$BB198,Règles_bovins[Ration]&amp;Règles_bovins[Aliment],0)),0),0)*IF(ChoixBovinsPréHiver=OUI,TotalVeauMâle_3_6_RacesLaitières,TotalBovinsMâles_3_6mois*NbreJoursNourrirBovins))</f>
        <v>0</v>
      </c>
      <c r="BI198" s="333">
        <f t="array" ref="BI198">IF(Ration_complète_bovins[somme]&gt;0,0,IFERROR(IF(OR(AND(INDEX(Règles_bovins[Specificite],MATCH(ChoixRationBovins&amp;$BB198,Règles_bovins[Ration]&amp;Règles_bovins[Aliment],0))="s1",IF($BB198=Spécificité1Bovins,1)),
AND(INDEX(Règles_bovins[Specificite],MATCH(ChoixRationBovins&amp;$BB198,Règles_bovins[Ration]&amp;Règles_bovins[Aliment],0))="s2",IF($BB198=Spécificité2Bovins,1)),
INDEX(Règles_bovins[Specificite],MATCH(ChoixRationBovins&amp;$BB198,Règles_bovins[Ration]&amp;Règles_bovins[Aliment],0))="c"),
INDEX(Règles_bovins[Valeur 0-3],MATCH(ChoixRationBovins&amp;$BB198,Règles_bovins[Ration]&amp;Règles_bovins[Aliment],0)),0),0)*IF(ChoixBovinsPréHiver=OUI,TotalVeauMâle_0_3_RacesLaitières,TotalBovinsMâles_0_3mois*NbreJoursNourrirBovins))</f>
        <v>0</v>
      </c>
      <c r="BJ198" s="334">
        <f t="shared" si="13"/>
        <v>0</v>
      </c>
      <c r="BK198" s="276"/>
      <c r="BL198" s="276"/>
      <c r="BX198" s="332" t="str">
        <f t="shared" si="14"/>
        <v>Blé</v>
      </c>
      <c r="BY198" s="333">
        <f t="array" ref="BY198">SUM((IF(QualitéAlimentsChevreau_0_3_mois=BONNE,VLOOKUP("Blé",AlimentsRationCaprinsMâles,5,FALSE),0)+(IF(QualitéAlimentsChevrette_0_3_mois=BONNE,VLOOKUP("Blé",AlimentsRationCaprinsFemelles,5,FALSE),0)+(IF(QualitéAlimentsChevreau_3_6_mois=BONNE,VLOOKUP("Blé",AlimentsRationCaprinsMâles,4,FALSE),0)+(IF(QualitéAlimentsChevrette_3_6_mois=BONNE,VLOOKUP("Blé",AlimentsRationCaprinsFemelles,4,FALSE),0)+(IF(QualitéAlimentsJeuneBouc=BONNE,VLOOKUP("Blé",AlimentsRationCaprinsMâles,3,FALSE),0)+(IF(QualitéAlimentsJeuneChèvre=BONNE,VLOOKUP("Blé",AlimentsRationCaprinsFemelles,3,FALSE),0)+(IF(QualitéAlimentsBouc=BONNE,VLOOKUP("Blé",AlimentsRationCaprinsMâles,2,FALSE),0)+(IF(QualitéAlimentsChèvre=BONNE,VLOOKUP("Blé",AlimentsRationCaprinsFemelles,2,FALSE),0))))))))))</f>
        <v>0</v>
      </c>
      <c r="BZ198" s="333">
        <f t="array" ref="BZ198">SUM((IF(QualitéAlimentsChevreau_0_3_mois=MOYENNE,VLOOKUP("Blé",AlimentsRationCaprinsMâles,5,FALSE),0)+(IF(QualitéAlimentsChevrette_0_3_mois=MOYENNE,VLOOKUP("Blé",AlimentsRationCaprinsFemelles,5,FALSE),0)+(IF(QualitéAlimentsChevreau_3_6_mois=MOYENNE,VLOOKUP("Blé",AlimentsRationCaprinsMâles,4,FALSE),0)+(IF(QualitéAlimentsChevrette_3_6_mois=MOYENNE,VLOOKUP("Blé",AlimentsRationCaprinsFemelles,4,FALSE),0)+(IF(QualitéAlimentsJeuneBouc=MOYENNE,VLOOKUP("Blé",AlimentsRationCaprinsMâles,3,FALSE),0)+(IF(QualitéAlimentsJeuneChèvre=MOYENNE,VLOOKUP("Blé",AlimentsRationCaprinsFemelles,3,FALSE),0)+(IF(QualitéAlimentsBouc=MOYENNE,VLOOKUP("Blé",AlimentsRationCaprinsMâles,2,FALSE),0)+(IF(QualitéAlimentsChèvre=MOYENNE,VLOOKUP("Blé",AlimentsRationCaprinsFemelles,2,FALSE),0))))))))))</f>
        <v>0</v>
      </c>
      <c r="CA198" s="333">
        <f t="array" ref="CA198">SUM((IF(QualitéAlimentsChevreau_0_3_mois=MAUVAISE,VLOOKUP("Blé",AlimentsRationCaprinsMâles,5,FALSE),0)+(IF(QualitéAlimentsChevrette_0_3_mois=MAUVAISE,VLOOKUP("Blé",AlimentsRationCaprinsFemelles,5,FALSE),0)+(IF(QualitéAlimentsChevreau_3_6_mois=MAUVAISE,VLOOKUP("Blé",AlimentsRationCaprinsMâles,4,FALSE),0)+(IF(QualitéAlimentsChevrette_3_6_mois=MAUVAISE,VLOOKUP("Blé",AlimentsRationCaprinsFemelles,4,FALSE),0)+(IF(QualitéAlimentsJeuneBouc=MAUVAISE,VLOOKUP("Blé",AlimentsRationCaprinsMâles,3,FALSE),0)+(IF(QualitéAlimentsJeuneChèvre=MAUVAISE,VLOOKUP("Blé",AlimentsRationCaprinsFemelles,3,FALSE),0)+(IF(QualitéAlimentsBouc=MAUVAISE,VLOOKUP("Blé",AlimentsRationCaprinsMâles,2,FALSE),0)+(IF(QualitéAlimentsChèvre=MAUVAISE,VLOOKUP("Blé",AlimentsRationCaprinsFemelles,2,FALSE),0))))))))))</f>
        <v>0</v>
      </c>
      <c r="CB198" s="294"/>
      <c r="CC198" s="294"/>
      <c r="CD198" s="295"/>
      <c r="CE198" s="295"/>
      <c r="CF198" s="295"/>
      <c r="CG198" s="295"/>
      <c r="CH198" s="295"/>
    </row>
    <row r="199" spans="1:86" ht="12.75" customHeight="1" x14ac:dyDescent="0.2">
      <c r="BB199" s="332" t="s">
        <v>426</v>
      </c>
      <c r="BC199" s="333">
        <f t="array" ref="BC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36 et plus],MATCH(ChoixRationBovins&amp;$BB199,Règles_bovins[Ration]&amp;Règles_bovins[Aliment],0)),0),0)*IF(ChoixBovinsPréHiver=OUI,TotalTaureauxRacesLaitières,TotalTaureaux*NbreJoursNourrirBovins))</f>
        <v>0</v>
      </c>
      <c r="BD199" s="333">
        <f t="array" ref="BD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24-36],MATCH(ChoixRationBovins&amp;$BB199,Règles_bovins[Ration]&amp;Règles_bovins[Aliment],0)),0),0)*IF(ChoixBovinsPréHiver=OUI,TotalTaurillon_24_36_RacesLaitières,TotalBovinsMâles_24_36mois*NbreJoursNourrirBovins))</f>
        <v>0</v>
      </c>
      <c r="BE199" s="333">
        <f t="array" ref="BE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18-24],MATCH(ChoixRationBovins&amp;$BB199,Règles_bovins[Ration]&amp;Règles_bovins[Aliment],0)),0),0)*IF(ChoixBovinsPréHiver=OUI,TotalTaurillon_18_24_RacesLaitières,TotalBovinsMâles_18_24mois*NbreJoursNourrirBovins))</f>
        <v>0</v>
      </c>
      <c r="BF199" s="333">
        <f t="array" ref="BF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12-18],MATCH(ChoixRationBovins&amp;$BB199,Règles_bovins[Ration]&amp;Règles_bovins[Aliment],0)),0),0)*IF(ChoixBovinsPréHiver=OUI,animaux!D19,TotalBovinsMâles_12_18mois*NbreJoursNourrirBovins))</f>
        <v>0</v>
      </c>
      <c r="BG199" s="333">
        <f t="array" ref="BG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6-12],MATCH(ChoixRationBovins&amp;$BB199,Règles_bovins[Ration]&amp;Règles_bovins[Aliment],0)),0),0)*IF(ChoixBovinsPréHiver=OUI,TotalVeauMâle_6_12_RacesLaitières,TotalBovinsMâles_6_12mois*NbreJoursNourrirBovins))</f>
        <v>0</v>
      </c>
      <c r="BH199" s="333">
        <f t="array" ref="BH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3-6],MATCH(ChoixRationBovins&amp;$BB199,Règles_bovins[Ration]&amp;Règles_bovins[Aliment],0)),0),0)*IF(ChoixBovinsPréHiver=OUI,TotalVeauMâle_3_6_RacesLaitières,TotalBovinsMâles_3_6mois*NbreJoursNourrirBovins))</f>
        <v>0</v>
      </c>
      <c r="BI199" s="333">
        <f t="array" ref="BI199">IF(Ration_complète_bovins[somme]&gt;0,0,IFERROR(IF(OR(AND(INDEX(Règles_bovins[Specificite],MATCH(ChoixRationBovins&amp;$BB199,Règles_bovins[Ration]&amp;Règles_bovins[Aliment],0))="s1",IF($BB199=Spécificité1Bovins,1)),
AND(INDEX(Règles_bovins[Specificite],MATCH(ChoixRationBovins&amp;$BB199,Règles_bovins[Ration]&amp;Règles_bovins[Aliment],0))="s2",IF($BB199=Spécificité2Bovins,1)),
INDEX(Règles_bovins[Specificite],MATCH(ChoixRationBovins&amp;$BB199,Règles_bovins[Ration]&amp;Règles_bovins[Aliment],0))="c"),
INDEX(Règles_bovins[Valeur 0-3],MATCH(ChoixRationBovins&amp;$BB199,Règles_bovins[Ration]&amp;Règles_bovins[Aliment],0)),0),0)*IF(ChoixBovinsPréHiver=OUI,TotalVeauMâle_0_3_RacesLaitières,TotalBovinsMâles_0_3mois*NbreJoursNourrirBovins))</f>
        <v>0</v>
      </c>
      <c r="BJ199" s="334">
        <f t="shared" si="13"/>
        <v>0</v>
      </c>
      <c r="BK199" s="276"/>
      <c r="BL199" s="276"/>
      <c r="BX199" s="332" t="str">
        <f t="shared" si="14"/>
        <v>Bouchons luzerne</v>
      </c>
      <c r="BY199" s="333">
        <f t="array" ref="BY199">SUM((IF(QualitéAlimentsChevreau_0_3_mois=BONNE,VLOOKUP("Bouchons luzerne",AlimentsRationCaprinsMâles,5,FALSE),0)+(IF(QualitéAlimentsChevrette_0_3_mois=BONNE,VLOOKUP("Bouchons luzerne",AlimentsRationCaprinsFemelles,5,FALSE),0)+(IF(QualitéAlimentsChevreau_3_6_mois=BONNE,VLOOKUP("Bouchons luzerne",AlimentsRationCaprinsMâles,4,FALSE),0)+(IF(QualitéAlimentsChevrette_3_6_mois=BONNE,VLOOKUP("Bouchons luzerne",AlimentsRationCaprinsFemelles,4,FALSE),0)+(IF(QualitéAlimentsJeuneBouc=BONNE,VLOOKUP("Bouchons luzerne",AlimentsRationCaprinsMâles,3,FALSE),0)+(IF(QualitéAlimentsJeuneChèvre=BONNE,VLOOKUP("Bouchons luzerne",AlimentsRationCaprinsFemelles,3,FALSE),0)+(IF(QualitéAlimentsBouc=BONNE,VLOOKUP("Bouchons luzerne",AlimentsRationCaprinsMâles,2,FALSE),0)+(IF(QualitéAlimentsChèvre=BONNE,VLOOKUP("Bouchons luzerne",AlimentsRationCaprinsFemelles,2,FALSE),0))))))))))</f>
        <v>0</v>
      </c>
      <c r="BZ199" s="333">
        <f t="array" ref="BZ199">SUM((IF(QualitéAlimentsChevreau_0_3_mois=MOYENNE,VLOOKUP("Bouchons luzerne",AlimentsRationCaprinsMâles,5,FALSE),0)+(IF(QualitéAlimentsChevrette_0_3_mois=MOYENNE,VLOOKUP("Bouchons luzerne",AlimentsRationCaprinsFemelles,5,FALSE),0)+(IF(QualitéAlimentsChevreau_3_6_mois=MOYENNE,VLOOKUP("Bouchons luzerne",AlimentsRationCaprinsMâles,4,FALSE),0)+(IF(QualitéAlimentsChevrette_3_6_mois=MOYENNE,VLOOKUP("Bouchons luzerne",AlimentsRationCaprinsFemelles,4,FALSE),0)+(IF(QualitéAlimentsJeuneBouc=MOYENNE,VLOOKUP("Bouchons luzerne",AlimentsRationCaprinsMâles,3,FALSE),0)+(IF(QualitéAlimentsJeuneChèvre=MOYENNE,VLOOKUP("Bouchons luzerne",AlimentsRationCaprinsFemelles,3,FALSE),0)+(IF(QualitéAlimentsBouc=MOYENNE,VLOOKUP("Bouchons luzerne",AlimentsRationCaprinsMâles,2,FALSE),0)+(IF(QualitéAlimentsChèvre=MOYENNE,VLOOKUP("Bouchons luzerne",AlimentsRationCaprinsFemelles,2,FALSE),0))))))))))</f>
        <v>0</v>
      </c>
      <c r="CA199" s="333">
        <f t="array" ref="CA199">SUM((IF(QualitéAlimentsChevreau_0_3_mois=MAUVAISE,VLOOKUP("Bouchons luzerne",AlimentsRationCaprinsMâles,5,FALSE),0)+(IF(QualitéAlimentsChevrette_0_3_mois=MAUVAISE,VLOOKUP("Bouchons luzerne",AlimentsRationCaprinsFemelles,5,FALSE),0)+(IF(QualitéAlimentsChevreau_3_6_mois=MAUVAISE,VLOOKUP("Bouchons luzerne",AlimentsRationCaprinsMâles,4,FALSE),0)+(IF(QualitéAlimentsChevrette_3_6_mois=MAUVAISE,VLOOKUP("Bouchons luzerne",AlimentsRationCaprinsFemelles,4,FALSE),0)+(IF(QualitéAlimentsJeuneBouc=MAUVAISE,VLOOKUP("Bouchons luzerne",AlimentsRationCaprinsMâles,3,FALSE),0)+(IF(QualitéAlimentsJeuneChèvre=MAUVAISE,VLOOKUP("Bouchons luzerne",AlimentsRationCaprinsFemelles,3,FALSE),0)+(IF(QualitéAlimentsBouc=MAUVAISE,VLOOKUP("Bouchons luzerne",AlimentsRationCaprinsMâles,2,FALSE),0)+(IF(QualitéAlimentsChèvre=MAUVAISE,VLOOKUP("Bouchons luzerne",AlimentsRationCaprinsFemelles,2,FALSE),0))))))))))</f>
        <v>0</v>
      </c>
      <c r="CB199" s="277"/>
      <c r="CC199" s="277"/>
      <c r="CD199" s="295"/>
      <c r="CE199" s="295"/>
      <c r="CF199" s="295"/>
      <c r="CG199" s="295"/>
      <c r="CH199" s="295"/>
    </row>
    <row r="200" spans="1:86" ht="12.75" customHeight="1" x14ac:dyDescent="0.2">
      <c r="BB200" s="332" t="s">
        <v>425</v>
      </c>
      <c r="BC200" s="333">
        <f t="array" ref="BC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36 et plus],MATCH(ChoixRationBovins&amp;$BB200,Règles_bovins[Ration]&amp;Règles_bovins[Aliment],0)),0),0)*IF(ChoixBovinsPréHiver=OUI,TotalTaureauxRacesLaitières,TotalTaureaux*NbreJoursNourrirBovins))</f>
        <v>0</v>
      </c>
      <c r="BD200" s="333">
        <f t="array" ref="BD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24-36],MATCH(ChoixRationBovins&amp;$BB200,Règles_bovins[Ration]&amp;Règles_bovins[Aliment],0)),0),0)*IF(ChoixBovinsPréHiver=OUI,TotalTaurillon_24_36_RacesLaitières,TotalBovinsMâles_24_36mois*NbreJoursNourrirBovins))</f>
        <v>0</v>
      </c>
      <c r="BE200" s="333">
        <f t="array" ref="BE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18-24],MATCH(ChoixRationBovins&amp;$BB200,Règles_bovins[Ration]&amp;Règles_bovins[Aliment],0)),0),0)*IF(ChoixBovinsPréHiver=OUI,TotalTaurillon_18_24_RacesLaitières,TotalBovinsMâles_18_24mois*NbreJoursNourrirBovins))</f>
        <v>0</v>
      </c>
      <c r="BF200" s="333">
        <f t="array" ref="BF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12-18],MATCH(ChoixRationBovins&amp;$BB200,Règles_bovins[Ration]&amp;Règles_bovins[Aliment],0)),0),0)*IF(ChoixBovinsPréHiver=OUI,animaux!D20,TotalBovinsMâles_12_18mois*NbreJoursNourrirBovins))</f>
        <v>0</v>
      </c>
      <c r="BG200" s="333">
        <f t="array" ref="BG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6-12],MATCH(ChoixRationBovins&amp;$BB200,Règles_bovins[Ration]&amp;Règles_bovins[Aliment],0)),0),0)*IF(ChoixBovinsPréHiver=OUI,TotalVeauMâle_6_12_RacesLaitières,TotalBovinsMâles_6_12mois*NbreJoursNourrirBovins))</f>
        <v>0</v>
      </c>
      <c r="BH200" s="333">
        <f t="array" ref="BH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3-6],MATCH(ChoixRationBovins&amp;$BB200,Règles_bovins[Ration]&amp;Règles_bovins[Aliment],0)),0),0)*IF(ChoixBovinsPréHiver=OUI,TotalVeauMâle_3_6_RacesLaitières,TotalBovinsMâles_3_6mois*NbreJoursNourrirBovins))</f>
        <v>0</v>
      </c>
      <c r="BI200" s="333">
        <f t="array" ref="BI200">IF(Ration_complète_bovins[somme]&gt;0,0,IFERROR(IF(OR(AND(INDEX(Règles_bovins[Specificite],MATCH(ChoixRationBovins&amp;$BB200,Règles_bovins[Ration]&amp;Règles_bovins[Aliment],0))="s1",IF($BB200=Spécificité1Bovins,1)),
AND(INDEX(Règles_bovins[Specificite],MATCH(ChoixRationBovins&amp;$BB200,Règles_bovins[Ration]&amp;Règles_bovins[Aliment],0))="s2",IF($BB200=Spécificité2Bovins,1)),
INDEX(Règles_bovins[Specificite],MATCH(ChoixRationBovins&amp;$BB200,Règles_bovins[Ration]&amp;Règles_bovins[Aliment],0))="c"),
INDEX(Règles_bovins[Valeur 0-3],MATCH(ChoixRationBovins&amp;$BB200,Règles_bovins[Ration]&amp;Règles_bovins[Aliment],0)),0),0)*IF(ChoixBovinsPréHiver=OUI,TotalVeauMâle_0_3_RacesLaitières,TotalBovinsMâles_0_3mois*NbreJoursNourrirBovins))</f>
        <v>0</v>
      </c>
      <c r="BJ200" s="334">
        <f t="shared" si="13"/>
        <v>0</v>
      </c>
      <c r="BK200" s="276"/>
      <c r="BL200" s="276"/>
      <c r="BX200" s="332" t="str">
        <f t="shared" si="14"/>
        <v>Chanvre</v>
      </c>
      <c r="BY200" s="333">
        <f t="array" ref="BY200">SUM((IF(QualitéAlimentsChevreau_0_3_mois=BONNE,VLOOKUP("Chanvre",AlimentsRationCaprinsMâles,5,FALSE),0)+(IF(QualitéAlimentsChevrette_0_3_mois=BONNE,VLOOKUP("Chanvre",AlimentsRationCaprinsFemelles,5,FALSE),0)+(IF(QualitéAlimentsChevreau_3_6_mois=BONNE,VLOOKUP("Chanvre",AlimentsRationCaprinsMâles,4,FALSE),0)+(IF(QualitéAlimentsChevrette_3_6_mois=BONNE,VLOOKUP("Chanvre",AlimentsRationCaprinsFemelles,4,FALSE),0)+(IF(QualitéAlimentsJeuneBouc=BONNE,VLOOKUP("Chanvre",AlimentsRationCaprinsMâles,3,FALSE),0)+(IF(QualitéAlimentsJeuneChèvre=BONNE,VLOOKUP("Chanvre",AlimentsRationCaprinsFemelles,3,FALSE),0)+(IF(QualitéAlimentsBouc=BONNE,VLOOKUP("Chanvre",AlimentsRationCaprinsMâles,2,FALSE),0)+(IF(QualitéAlimentsChèvre=BONNE,VLOOKUP("Chanvre",AlimentsRationCaprinsFemelles,2,FALSE),0))))))))))</f>
        <v>0</v>
      </c>
      <c r="BZ200" s="333">
        <f t="array" ref="BZ200">SUM((IF(QualitéAlimentsChevreau_0_3_mois=MOYENNE,VLOOKUP("Chanvre",AlimentsRationCaprinsMâles,5,FALSE),0)+(IF(QualitéAlimentsChevrette_0_3_mois=MOYENNE,VLOOKUP("Chanvre",AlimentsRationCaprinsFemelles,5,FALSE),0)+(IF(QualitéAlimentsChevreau_3_6_mois=MOYENNE,VLOOKUP("Chanvre",AlimentsRationCaprinsMâles,4,FALSE),0)+(IF(QualitéAlimentsChevrette_3_6_mois=MOYENNE,VLOOKUP("Chanvre",AlimentsRationCaprinsFemelles,4,FALSE),0)+(IF(QualitéAlimentsJeuneBouc=MOYENNE,VLOOKUP("Chanvre",AlimentsRationCaprinsMâles,3,FALSE),0)+(IF(QualitéAlimentsJeuneChèvre=MOYENNE,VLOOKUP("Chanvre",AlimentsRationCaprinsFemelles,3,FALSE),0)+(IF(QualitéAlimentsBouc=MOYENNE,VLOOKUP("Chanvre",AlimentsRationCaprinsMâles,2,FALSE),0)+(IF(QualitéAlimentsChèvre=MOYENNE,VLOOKUP("Chanvre",AlimentsRationCaprinsFemelles,2,FALSE),0))))))))))</f>
        <v>0</v>
      </c>
      <c r="CA200" s="333">
        <f t="array" ref="CA200">SUM((IF(QualitéAlimentsChevreau_0_3_mois=MAUVAISE,VLOOKUP("Chanvre",AlimentsRationCaprinsMâles,5,FALSE),0)+(IF(QualitéAlimentsChevrette_0_3_mois=MAUVAISE,VLOOKUP("Chanvre",AlimentsRationCaprinsFemelles,5,FALSE),0)+(IF(QualitéAlimentsChevreau_3_6_mois=MAUVAISE,VLOOKUP("Chanvre",AlimentsRationCaprinsMâles,4,FALSE),0)+(IF(QualitéAlimentsChevrette_3_6_mois=MAUVAISE,VLOOKUP("Chanvre",AlimentsRationCaprinsFemelles,4,FALSE),0)+(IF(QualitéAlimentsJeuneBouc=MAUVAISE,VLOOKUP("Chanvre",AlimentsRationCaprinsMâles,3,FALSE),0)+(IF(QualitéAlimentsJeuneChèvre=MAUVAISE,VLOOKUP("Chanvre",AlimentsRationCaprinsFemelles,3,FALSE),0)+(IF(QualitéAlimentsBouc=MAUVAISE,VLOOKUP("Chanvre",AlimentsRationCaprinsMâles,2,FALSE),0)+(IF(QualitéAlimentsChèvre=MAUVAISE,VLOOKUP("Chanvre",AlimentsRationCaprinsFemelles,2,FALSE),0))))))))))</f>
        <v>0</v>
      </c>
      <c r="CB200" s="277"/>
      <c r="CC200" s="277"/>
      <c r="CD200" s="295"/>
      <c r="CE200" s="295"/>
      <c r="CF200" s="295"/>
      <c r="CG200" s="295"/>
      <c r="CH200" s="295"/>
    </row>
    <row r="201" spans="1:86" ht="12.75" customHeight="1" x14ac:dyDescent="0.2">
      <c r="BB201" s="332" t="s">
        <v>882</v>
      </c>
      <c r="BC201" s="333">
        <f t="array" ref="BC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36 et plus],MATCH(ChoixRationBovins&amp;$BB201,Règles_bovins[Ration]&amp;Règles_bovins[Aliment],0)),0),0)*IF(ChoixBovinsPréHiver=OUI,TotalTaureauxRacesLaitières,TotalTaureaux*NbreJoursNourrirBovins))</f>
        <v>0</v>
      </c>
      <c r="BD201" s="333">
        <f t="array" ref="BD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24-36],MATCH(ChoixRationBovins&amp;$BB201,Règles_bovins[Ration]&amp;Règles_bovins[Aliment],0)),0),0)*IF(ChoixBovinsPréHiver=OUI,TotalTaurillon_24_36_RacesLaitières,TotalBovinsMâles_24_36mois*NbreJoursNourrirBovins))</f>
        <v>0</v>
      </c>
      <c r="BE201" s="333">
        <f t="array" ref="BE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18-24],MATCH(ChoixRationBovins&amp;$BB201,Règles_bovins[Ration]&amp;Règles_bovins[Aliment],0)),0),0)*IF(ChoixBovinsPréHiver=OUI,TotalTaurillon_18_24_RacesLaitières,TotalBovinsMâles_18_24mois*NbreJoursNourrirBovins))</f>
        <v>0</v>
      </c>
      <c r="BF201" s="333">
        <f t="array" ref="BF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12-18],MATCH(ChoixRationBovins&amp;$BB201,Règles_bovins[Ration]&amp;Règles_bovins[Aliment],0)),0),0)*IF(ChoixBovinsPréHiver=OUI,animaux!D21,TotalBovinsMâles_12_18mois*NbreJoursNourrirBovins))</f>
        <v>0</v>
      </c>
      <c r="BG201" s="333">
        <f t="array" ref="BG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6-12],MATCH(ChoixRationBovins&amp;$BB201,Règles_bovins[Ration]&amp;Règles_bovins[Aliment],0)),0),0)*IF(ChoixBovinsPréHiver=OUI,TotalVeauMâle_6_12_RacesLaitières,TotalBovinsMâles_6_12mois*NbreJoursNourrirBovins))</f>
        <v>0</v>
      </c>
      <c r="BH201" s="333">
        <f t="array" ref="BH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3-6],MATCH(ChoixRationBovins&amp;$BB201,Règles_bovins[Ration]&amp;Règles_bovins[Aliment],0)),0),0)*IF(ChoixBovinsPréHiver=OUI,TotalVeauMâle_3_6_RacesLaitières,TotalBovinsMâles_3_6mois*NbreJoursNourrirBovins))</f>
        <v>0</v>
      </c>
      <c r="BI201" s="333">
        <f t="array" ref="BI201">IF(Ration_complète_bovins[somme]&gt;0,0,IFERROR(IF(OR(AND(INDEX(Règles_bovins[Specificite],MATCH(ChoixRationBovins&amp;$BB201,Règles_bovins[Ration]&amp;Règles_bovins[Aliment],0))="s1",IF($BB201=Spécificité1Bovins,1)),
AND(INDEX(Règles_bovins[Specificite],MATCH(ChoixRationBovins&amp;$BB201,Règles_bovins[Ration]&amp;Règles_bovins[Aliment],0))="s2",IF($BB201=Spécificité2Bovins,1)),
INDEX(Règles_bovins[Specificite],MATCH(ChoixRationBovins&amp;$BB201,Règles_bovins[Ration]&amp;Règles_bovins[Aliment],0))="c"),
INDEX(Règles_bovins[Valeur 0-3],MATCH(ChoixRationBovins&amp;$BB201,Règles_bovins[Ration]&amp;Règles_bovins[Aliment],0)),0),0)*IF(ChoixBovinsPréHiver=OUI,TotalVeauMâle_0_3_RacesLaitières,TotalBovinsMâles_0_3mois*NbreJoursNourrirBovins))</f>
        <v>0</v>
      </c>
      <c r="BJ201" s="334">
        <f t="shared" si="13"/>
        <v>0</v>
      </c>
      <c r="BK201" s="276"/>
      <c r="BL201" s="276"/>
      <c r="BX201" s="332" t="str">
        <f t="shared" si="14"/>
        <v>Canola</v>
      </c>
      <c r="BY201" s="333">
        <f t="array" ref="BY201">SUM((IF(QualitéAlimentsChevreau_0_3_mois=BONNE,VLOOKUP("Canola",AlimentsRationCaprinsMâles,5,FALSE),0)+(IF(QualitéAlimentsChevrette_0_3_mois=BONNE,VLOOKUP("Canola",AlimentsRationCaprinsFemelles,5,FALSE),0)+(IF(QualitéAlimentsChevreau_3_6_mois=BONNE,VLOOKUP("Canola",AlimentsRationCaprinsMâles,4,FALSE),0)+(IF(QualitéAlimentsChevrette_3_6_mois=BONNE,VLOOKUP("Canola",AlimentsRationCaprinsFemelles,4,FALSE),0)+(IF(QualitéAlimentsJeuneBouc=BONNE,VLOOKUP("Canola",AlimentsRationCaprinsMâles,3,FALSE),0)+(IF(QualitéAlimentsJeuneChèvre=BONNE,VLOOKUP("Canola",AlimentsRationCaprinsFemelles,3,FALSE),0)+(IF(QualitéAlimentsBouc=BONNE,VLOOKUP("Canola",AlimentsRationCaprinsMâles,2,FALSE),0)+(IF(QualitéAlimentsChèvre=BONNE,VLOOKUP("Canola",AlimentsRationCaprinsFemelles,2,FALSE),0))))))))))</f>
        <v>0</v>
      </c>
      <c r="BZ201" s="333">
        <f t="array" ref="BZ201">SUM((IF(QualitéAlimentsChevreau_0_3_mois=MOYENNE,VLOOKUP("Canola",AlimentsRationCaprinsMâles,5,FALSE),0)+(IF(QualitéAlimentsChevrette_0_3_mois=MOYENNE,VLOOKUP("Canola",AlimentsRationCaprinsFemelles,5,FALSE),0)+(IF(QualitéAlimentsChevreau_3_6_mois=MOYENNE,VLOOKUP("Canola",AlimentsRationCaprinsMâles,4,FALSE),0)+(IF(QualitéAlimentsChevrette_3_6_mois=MOYENNE,VLOOKUP("Canola",AlimentsRationCaprinsFemelles,4,FALSE),0)+(IF(QualitéAlimentsJeuneBouc=MOYENNE,VLOOKUP("Canola",AlimentsRationCaprinsMâles,3,FALSE),0)+(IF(QualitéAlimentsJeuneChèvre=MOYENNE,VLOOKUP("Canola",AlimentsRationCaprinsFemelles,3,FALSE),0)+(IF(QualitéAlimentsBouc=MOYENNE,VLOOKUP("Canola",AlimentsRationCaprinsMâles,2,FALSE),0)+(IF(QualitéAlimentsChèvre=MOYENNE,VLOOKUP("Canola",AlimentsRationCaprinsFemelles,2,FALSE),0))))))))))</f>
        <v>0</v>
      </c>
      <c r="CA201" s="333">
        <f t="array" ref="CA201">SUM((IF(QualitéAlimentsChevreau_0_3_mois=MAUVAISE,VLOOKUP("Canola",AlimentsRationCaprinsMâles,5,FALSE),0)+(IF(QualitéAlimentsChevrette_0_3_mois=MAUVAISE,VLOOKUP("Canola",AlimentsRationCaprinsFemelles,5,FALSE),0)+(IF(QualitéAlimentsChevreau_3_6_mois=MAUVAISE,VLOOKUP("Canola",AlimentsRationCaprinsMâles,4,FALSE),0)+(IF(QualitéAlimentsChevrette_3_6_mois=MAUVAISE,VLOOKUP("Canola",AlimentsRationCaprinsFemelles,4,FALSE),0)+(IF(QualitéAlimentsJeuneBouc=MAUVAISE,VLOOKUP("Canola",AlimentsRationCaprinsMâles,3,FALSE),0)+(IF(QualitéAlimentsJeuneChèvre=MAUVAISE,VLOOKUP("Canola",AlimentsRationCaprinsFemelles,3,FALSE),0)+(IF(QualitéAlimentsBouc=MAUVAISE,VLOOKUP("Canola",AlimentsRationCaprinsMâles,2,FALSE),0)+(IF(QualitéAlimentsChèvre=MAUVAISE,VLOOKUP("Canola",AlimentsRationCaprinsFemelles,2,FALSE),0))))))))))</f>
        <v>0</v>
      </c>
      <c r="CB201" s="277"/>
      <c r="CC201" s="277"/>
      <c r="CD201" s="295"/>
      <c r="CE201" s="295"/>
      <c r="CF201" s="295"/>
      <c r="CG201" s="295"/>
      <c r="CH201" s="295"/>
    </row>
    <row r="202" spans="1:86" ht="12.75" customHeight="1" x14ac:dyDescent="0.2">
      <c r="BB202" s="332" t="s">
        <v>883</v>
      </c>
      <c r="BC202" s="333">
        <f t="array" ref="BC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36 et plus],MATCH(ChoixRationBovins&amp;$BB202,Règles_bovins[Ration]&amp;Règles_bovins[Aliment],0)),0),0)*IF(ChoixBovinsPréHiver=OUI,TotalTaureauxRacesLaitières,TotalTaureaux*NbreJoursNourrirBovins))</f>
        <v>0</v>
      </c>
      <c r="BD202" s="333">
        <f t="array" ref="BD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24-36],MATCH(ChoixRationBovins&amp;$BB202,Règles_bovins[Ration]&amp;Règles_bovins[Aliment],0)),0),0)*IF(ChoixBovinsPréHiver=OUI,TotalTaurillon_24_36_RacesLaitières,TotalBovinsMâles_24_36mois*NbreJoursNourrirBovins))</f>
        <v>0</v>
      </c>
      <c r="BE202" s="333">
        <f t="array" ref="BE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18-24],MATCH(ChoixRationBovins&amp;$BB202,Règles_bovins[Ration]&amp;Règles_bovins[Aliment],0)),0),0)*IF(ChoixBovinsPréHiver=OUI,TotalTaurillon_18_24_RacesLaitières,TotalBovinsMâles_18_24mois*NbreJoursNourrirBovins))</f>
        <v>0</v>
      </c>
      <c r="BF202" s="333">
        <f t="array" ref="BF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12-18],MATCH(ChoixRationBovins&amp;$BB202,Règles_bovins[Ration]&amp;Règles_bovins[Aliment],0)),0),0)*IF(ChoixBovinsPréHiver=OUI,animaux!D25,TotalBovinsMâles_12_18mois*NbreJoursNourrirBovins))</f>
        <v>0</v>
      </c>
      <c r="BG202" s="333">
        <f t="array" ref="BG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6-12],MATCH(ChoixRationBovins&amp;$BB202,Règles_bovins[Ration]&amp;Règles_bovins[Aliment],0)),0),0)*IF(ChoixBovinsPréHiver=OUI,TotalVeauMâle_6_12_RacesLaitières,TotalBovinsMâles_6_12mois*NbreJoursNourrirBovins))</f>
        <v>0</v>
      </c>
      <c r="BH202" s="333">
        <f t="array" ref="BH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3-6],MATCH(ChoixRationBovins&amp;$BB202,Règles_bovins[Ration]&amp;Règles_bovins[Aliment],0)),0),0)*IF(ChoixBovinsPréHiver=OUI,TotalVeauMâle_3_6_RacesLaitières,TotalBovinsMâles_3_6mois*NbreJoursNourrirBovins))</f>
        <v>0</v>
      </c>
      <c r="BI202" s="333">
        <f t="array" ref="BI202">IF(Ration_complète_bovins[somme]&gt;0,0,IFERROR(IF(OR(AND(INDEX(Règles_bovins[Specificite],MATCH(ChoixRationBovins&amp;$BB202,Règles_bovins[Ration]&amp;Règles_bovins[Aliment],0))="s1",IF($BB202=Spécificité1Bovins,1)),
AND(INDEX(Règles_bovins[Specificite],MATCH(ChoixRationBovins&amp;$BB202,Règles_bovins[Ration]&amp;Règles_bovins[Aliment],0))="s2",IF($BB202=Spécificité2Bovins,1)),
INDEX(Règles_bovins[Specificite],MATCH(ChoixRationBovins&amp;$BB202,Règles_bovins[Ration]&amp;Règles_bovins[Aliment],0))="c"),
INDEX(Règles_bovins[Valeur 0-3],MATCH(ChoixRationBovins&amp;$BB202,Règles_bovins[Ration]&amp;Règles_bovins[Aliment],0)),0),0)*IF(ChoixBovinsPréHiver=OUI,TotalVeauMâle_0_3_RacesLaitières,TotalBovinsMâles_0_3mois*NbreJoursNourrirBovins))</f>
        <v>0</v>
      </c>
      <c r="BJ202" s="334">
        <f t="shared" si="13"/>
        <v>0</v>
      </c>
      <c r="BK202" s="276"/>
      <c r="BL202" s="276"/>
      <c r="BX202" s="332" t="str">
        <f t="shared" si="14"/>
        <v>Colza</v>
      </c>
      <c r="BY202" s="333">
        <f t="array" ref="BY202">SUM((IF(QualitéAlimentsChevreau_0_3_mois=BONNE,VLOOKUP("Colza",AlimentsRationCaprinsMâles,5,FALSE),0)+(IF(QualitéAlimentsChevrette_0_3_mois=BONNE,VLOOKUP("Colza",AlimentsRationCaprinsFemelles,5,FALSE),0)+(IF(QualitéAlimentsChevreau_3_6_mois=BONNE,VLOOKUP("Colza",AlimentsRationCaprinsMâles,4,FALSE),0)+(IF(QualitéAlimentsChevrette_3_6_mois=BONNE,VLOOKUP("Colza",AlimentsRationCaprinsFemelles,4,FALSE),0)+(IF(QualitéAlimentsJeuneBouc=BONNE,VLOOKUP("Colza",AlimentsRationCaprinsMâles,3,FALSE),0)+(IF(QualitéAlimentsJeuneChèvre=BONNE,VLOOKUP("Colza",AlimentsRationCaprinsFemelles,3,FALSE),0)+(IF(QualitéAlimentsBouc=BONNE,VLOOKUP("Colza",AlimentsRationCaprinsMâles,2,FALSE),0)+(IF(QualitéAlimentsChèvre=BONNE,VLOOKUP("Colza",AlimentsRationCaprinsFemelles,2,FALSE),0))))))))))</f>
        <v>0</v>
      </c>
      <c r="BZ202" s="333">
        <f t="array" ref="BZ202">SUM((IF(QualitéAlimentsChevreau_0_3_mois=MOYENNE,VLOOKUP("Colza",AlimentsRationCaprinsMâles,5,FALSE),0)+(IF(QualitéAlimentsChevrette_0_3_mois=MOYENNE,VLOOKUP("Colza",AlimentsRationCaprinsFemelles,5,FALSE),0)+(IF(QualitéAlimentsChevreau_3_6_mois=MOYENNE,VLOOKUP("Colza",AlimentsRationCaprinsMâles,4,FALSE),0)+(IF(QualitéAlimentsChevrette_3_6_mois=MOYENNE,VLOOKUP("Colza",AlimentsRationCaprinsFemelles,4,FALSE),0)+(IF(QualitéAlimentsJeuneBouc=MOYENNE,VLOOKUP("Colza",AlimentsRationCaprinsMâles,3,FALSE),0)+(IF(QualitéAlimentsJeuneChèvre=MOYENNE,VLOOKUP("Colza",AlimentsRationCaprinsFemelles,3,FALSE),0)+(IF(QualitéAlimentsBouc=MOYENNE,VLOOKUP("Colza",AlimentsRationCaprinsMâles,2,FALSE),0)+(IF(QualitéAlimentsChèvre=MOYENNE,VLOOKUP("Colza",AlimentsRationCaprinsFemelles,2,FALSE),0))))))))))</f>
        <v>0</v>
      </c>
      <c r="CA202" s="333">
        <f t="array" ref="CA202">SUM((IF(QualitéAlimentsChevreau_0_3_mois=MAUVAISE,VLOOKUP("Colza",AlimentsRationCaprinsMâles,5,FALSE),0)+(IF(QualitéAlimentsChevrette_0_3_mois=MAUVAISE,VLOOKUP("Colza",AlimentsRationCaprinsFemelles,5,FALSE),0)+(IF(QualitéAlimentsChevreau_3_6_mois=MAUVAISE,VLOOKUP("Colza",AlimentsRationCaprinsMâles,4,FALSE),0)+(IF(QualitéAlimentsChevrette_3_6_mois=MAUVAISE,VLOOKUP("Colza",AlimentsRationCaprinsFemelles,4,FALSE),0)+(IF(QualitéAlimentsJeuneBouc=MAUVAISE,VLOOKUP("Colza",AlimentsRationCaprinsMâles,3,FALSE),0)+(IF(QualitéAlimentsJeuneChèvre=MAUVAISE,VLOOKUP("Colza",AlimentsRationCaprinsFemelles,3,FALSE),0)+(IF(QualitéAlimentsBouc=MAUVAISE,VLOOKUP("Colza",AlimentsRationCaprinsMâles,2,FALSE),0)+(IF(QualitéAlimentsChèvre=MAUVAISE,VLOOKUP("Colza",AlimentsRationCaprinsFemelles,2,FALSE),0))))))))))</f>
        <v>0</v>
      </c>
      <c r="CB202" s="277"/>
      <c r="CC202" s="277"/>
      <c r="CD202" s="295"/>
      <c r="CE202" s="295"/>
      <c r="CF202" s="295"/>
      <c r="CG202" s="295"/>
      <c r="CH202" s="295"/>
    </row>
    <row r="203" spans="1:86" ht="12.75" customHeight="1" x14ac:dyDescent="0.2">
      <c r="BB203" s="332" t="s">
        <v>881</v>
      </c>
      <c r="BC203" s="333">
        <f t="array" ref="BC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36 et plus],MATCH(ChoixRationBovins&amp;$BB203,Règles_bovins[Ration]&amp;Règles_bovins[Aliment],0)),0),0)*IF(ChoixBovinsPréHiver=OUI,TotalTaureauxRacesLaitières,TotalTaureaux*NbreJoursNourrirBovins))</f>
        <v>0</v>
      </c>
      <c r="BD203" s="333">
        <f t="array" ref="BD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24-36],MATCH(ChoixRationBovins&amp;$BB203,Règles_bovins[Ration]&amp;Règles_bovins[Aliment],0)),0),0)*IF(ChoixBovinsPréHiver=OUI,TotalTaurillon_24_36_RacesLaitières,TotalBovinsMâles_24_36mois*NbreJoursNourrirBovins))</f>
        <v>0</v>
      </c>
      <c r="BE203" s="333">
        <f t="array" ref="BE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18-24],MATCH(ChoixRationBovins&amp;$BB203,Règles_bovins[Ration]&amp;Règles_bovins[Aliment],0)),0),0)*IF(ChoixBovinsPréHiver=OUI,TotalTaurillon_18_24_RacesLaitières,TotalBovinsMâles_18_24mois*NbreJoursNourrirBovins))</f>
        <v>0</v>
      </c>
      <c r="BF203" s="333">
        <f t="array" ref="BF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12-18],MATCH(ChoixRationBovins&amp;$BB203,Règles_bovins[Ration]&amp;Règles_bovins[Aliment],0)),0),0)*IF(ChoixBovinsPréHiver=OUI,animaux!D26,TotalBovinsMâles_12_18mois*NbreJoursNourrirBovins))</f>
        <v>0</v>
      </c>
      <c r="BG203" s="333">
        <f t="array" ref="BG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6-12],MATCH(ChoixRationBovins&amp;$BB203,Règles_bovins[Ration]&amp;Règles_bovins[Aliment],0)),0),0)*IF(ChoixBovinsPréHiver=OUI,TotalVeauMâle_6_12_RacesLaitières,TotalBovinsMâles_6_12mois*NbreJoursNourrirBovins))</f>
        <v>0</v>
      </c>
      <c r="BH203" s="333">
        <f t="array" ref="BH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3-6],MATCH(ChoixRationBovins&amp;$BB203,Règles_bovins[Ration]&amp;Règles_bovins[Aliment],0)),0),0)*IF(ChoixBovinsPréHiver=OUI,TotalVeauMâle_3_6_RacesLaitières,TotalBovinsMâles_3_6mois*NbreJoursNourrirBovins))</f>
        <v>0</v>
      </c>
      <c r="BI203" s="333">
        <f t="array" ref="BI203">IF(Ration_complète_bovins[somme]&gt;0,0,IFERROR(IF(OR(AND(INDEX(Règles_bovins[Specificite],MATCH(ChoixRationBovins&amp;$BB203,Règles_bovins[Ration]&amp;Règles_bovins[Aliment],0))="s1",IF($BB203=Spécificité1Bovins,1)),
AND(INDEX(Règles_bovins[Specificite],MATCH(ChoixRationBovins&amp;$BB203,Règles_bovins[Ration]&amp;Règles_bovins[Aliment],0))="s2",IF($BB203=Spécificité2Bovins,1)),
INDEX(Règles_bovins[Specificite],MATCH(ChoixRationBovins&amp;$BB203,Règles_bovins[Ration]&amp;Règles_bovins[Aliment],0))="c"),
INDEX(Règles_bovins[Valeur 0-3],MATCH(ChoixRationBovins&amp;$BB203,Règles_bovins[Ration]&amp;Règles_bovins[Aliment],0)),0),0)*IF(ChoixBovinsPréHiver=OUI,TotalVeauMâle_0_3_RacesLaitières,TotalBovinsMâles_0_3mois*NbreJoursNourrirBovins))</f>
        <v>0</v>
      </c>
      <c r="BJ203" s="334">
        <f t="shared" si="13"/>
        <v>0</v>
      </c>
      <c r="BK203" s="276"/>
      <c r="BL203" s="276"/>
      <c r="BX203" s="332" t="str">
        <f t="shared" si="14"/>
        <v>concentré jeunes bovins</v>
      </c>
      <c r="BY203" s="333">
        <f t="array" ref="BY203">SUM((IF(QualitéAlimentsChevreau_0_3_mois=BONNE,VLOOKUP("Concentré jeunes bovins",AlimentsRationCaprinsMâles,5,FALSE),0)+(IF(QualitéAlimentsChevrette_0_3_mois=BONNE,VLOOKUP("Concentré jeunes bovins",AlimentsRationCaprinsFemelles,5,FALSE),0)+(IF(QualitéAlimentsChevreau_3_6_mois=BONNE,VLOOKUP("Concentré jeunes bovins",AlimentsRationCaprinsMâles,4,FALSE),0)+(IF(QualitéAlimentsChevrette_3_6_mois=BONNE,VLOOKUP("Concentré jeunes bovins",AlimentsRationCaprinsFemelles,4,FALSE),0)+(IF(QualitéAlimentsJeuneBouc=BONNE,VLOOKUP("Concentré jeunes bovins",AlimentsRationCaprinsMâles,3,FALSE),0)+(IF(QualitéAlimentsJeuneChèvre=BONNE,VLOOKUP("Concentré jeunes bovins",AlimentsRationCaprinsFemelles,3,FALSE),0)+(IF(QualitéAlimentsBouc=BONNE,VLOOKUP("Concentré jeunes bovins",AlimentsRationCaprinsMâles,2,FALSE),0)+(IF(QualitéAlimentsChèvre=BONNE,VLOOKUP("Concentré jeunes bovins",AlimentsRationCaprinsFemelles,2,FALSE),0))))))))))</f>
        <v>0</v>
      </c>
      <c r="BZ203" s="333">
        <f t="array" ref="BZ203">SUM((IF(QualitéAlimentsChevreau_0_3_mois=MOYENNE,VLOOKUP("Concentré jeunes bovins",AlimentsRationCaprinsMâles,5,FALSE),0)+(IF(QualitéAlimentsChevrette_0_3_mois=MOYENNE,VLOOKUP("Concentré jeunes bovins",AlimentsRationCaprinsFemelles,5,FALSE),0)+(IF(QualitéAlimentsChevreau_3_6_mois=MOYENNE,VLOOKUP("Concentré jeunes bovins",AlimentsRationCaprinsMâles,4,FALSE),0)+(IF(QualitéAlimentsChevrette_3_6_mois=MOYENNE,VLOOKUP("Concentré jeunes bovins",AlimentsRationCaprinsFemelles,4,FALSE),0)+(IF(QualitéAlimentsJeuneBouc=MOYENNE,VLOOKUP("Concentré jeunes bovins",AlimentsRationCaprinsMâles,3,FALSE),0)+(IF(QualitéAlimentsJeuneChèvre=MOYENNE,VLOOKUP("Concentré jeunes bovins",AlimentsRationCaprinsFemelles,3,FALSE),0)+(IF(QualitéAlimentsBouc=MOYENNE,VLOOKUP("Concentré jeunes bovins",AlimentsRationCaprinsMâles,2,FALSE),0)+(IF(QualitéAlimentsChèvre=MOYENNE,VLOOKUP("Concentré jeunes bovins",AlimentsRationCaprinsFemelles,2,FALSE),0))))))))))</f>
        <v>0</v>
      </c>
      <c r="CA203" s="333">
        <f t="array" ref="CA203">SUM((IF(QualitéAlimentsChevreau_0_3_mois=MAUVAISE,VLOOKUP("Concentré jeunes bovins",AlimentsRationCaprinsMâles,5,FALSE),0)+(IF(QualitéAlimentsChevrette_0_3_mois=MAUVAISE,VLOOKUP("Concentré jeunes bovins",AlimentsRationCaprinsFemelles,5,FALSE),0)+(IF(QualitéAlimentsChevreau_3_6_mois=MAUVAISE,VLOOKUP("Concentré jeunes bovins",AlimentsRationCaprinsMâles,4,FALSE),0)+(IF(QualitéAlimentsChevrette_3_6_mois=MAUVAISE,VLOOKUP("Concentré jeunes bovins",AlimentsRationCaprinsFemelles,4,FALSE),0)+(IF(QualitéAlimentsJeuneBouc=MAUVAISE,VLOOKUP("Concentré jeunes bovins",AlimentsRationCaprinsMâles,3,FALSE),0)+(IF(QualitéAlimentsJeuneChèvre=MAUVAISE,VLOOKUP("Concentré jeunes bovins",AlimentsRationCaprinsFemelles,3,FALSE),0)+(IF(QualitéAlimentsBouc=MAUVAISE,VLOOKUP("Concentré jeunes bovins",AlimentsRationCaprinsMâles,2,FALSE),0)+(IF(QualitéAlimentsChèvre=MAUVAISE,VLOOKUP("Concentré jeunes bovins",AlimentsRationCaprinsFemelles,2,FALSE),0))))))))))</f>
        <v>0</v>
      </c>
      <c r="CB203" s="277"/>
      <c r="CC203" s="277"/>
      <c r="CD203" s="295"/>
      <c r="CE203" s="295"/>
      <c r="CF203" s="295"/>
      <c r="CG203" s="295"/>
      <c r="CH203" s="295"/>
    </row>
    <row r="204" spans="1:86" ht="12.75" customHeight="1" x14ac:dyDescent="0.2">
      <c r="BB204" s="332" t="s">
        <v>439</v>
      </c>
      <c r="BC204" s="333">
        <f t="array" ref="BC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36 et plus],MATCH(ChoixRationBovins&amp;$BB204,Règles_bovins[Ration]&amp;Règles_bovins[Aliment],0)),0),0)*IF(ChoixBovinsPréHiver=OUI,TotalTaureauxRacesLaitières,TotalTaureaux*NbreJoursNourrirBovins))</f>
        <v>0</v>
      </c>
      <c r="BD204" s="333">
        <f t="array" ref="BD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24-36],MATCH(ChoixRationBovins&amp;$BB204,Règles_bovins[Ration]&amp;Règles_bovins[Aliment],0)),0),0)*IF(ChoixBovinsPréHiver=OUI,TotalTaurillon_24_36_RacesLaitières,TotalBovinsMâles_24_36mois*NbreJoursNourrirBovins))</f>
        <v>0</v>
      </c>
      <c r="BE204" s="333">
        <f t="array" ref="BE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18-24],MATCH(ChoixRationBovins&amp;$BB204,Règles_bovins[Ration]&amp;Règles_bovins[Aliment],0)),0),0)*IF(ChoixBovinsPréHiver=OUI,TotalTaurillon_18_24_RacesLaitières,TotalBovinsMâles_18_24mois*NbreJoursNourrirBovins))</f>
        <v>0</v>
      </c>
      <c r="BF204" s="333">
        <f t="array" ref="BF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12-18],MATCH(ChoixRationBovins&amp;$BB204,Règles_bovins[Ration]&amp;Règles_bovins[Aliment],0)),0),0)*IF(ChoixBovinsPréHiver=OUI,animaux!D27,TotalBovinsMâles_12_18mois*NbreJoursNourrirBovins))</f>
        <v>0</v>
      </c>
      <c r="BG204" s="333">
        <f t="array" ref="BG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6-12],MATCH(ChoixRationBovins&amp;$BB204,Règles_bovins[Ration]&amp;Règles_bovins[Aliment],0)),0),0)*IF(ChoixBovinsPréHiver=OUI,TotalVeauMâle_6_12_RacesLaitières,TotalBovinsMâles_6_12mois*NbreJoursNourrirBovins))</f>
        <v>0</v>
      </c>
      <c r="BH204" s="333">
        <f t="array" ref="BH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3-6],MATCH(ChoixRationBovins&amp;$BB204,Règles_bovins[Ration]&amp;Règles_bovins[Aliment],0)),0),0)*IF(ChoixBovinsPréHiver=OUI,TotalVeauMâle_3_6_RacesLaitières,TotalBovinsMâles_3_6mois*NbreJoursNourrirBovins))</f>
        <v>0</v>
      </c>
      <c r="BI204" s="333">
        <f t="array" ref="BI204">IF(Ration_complète_bovins[somme]&gt;0,0,IFERROR(IF(OR(AND(INDEX(Règles_bovins[Specificite],MATCH(ChoixRationBovins&amp;$BB204,Règles_bovins[Ration]&amp;Règles_bovins[Aliment],0))="s1",IF($BB204=Spécificité1Bovins,1)),
AND(INDEX(Règles_bovins[Specificite],MATCH(ChoixRationBovins&amp;$BB204,Règles_bovins[Ration]&amp;Règles_bovins[Aliment],0))="s2",IF($BB204=Spécificité2Bovins,1)),
INDEX(Règles_bovins[Specificite],MATCH(ChoixRationBovins&amp;$BB204,Règles_bovins[Ration]&amp;Règles_bovins[Aliment],0))="c"),
INDEX(Règles_bovins[Valeur 0-3],MATCH(ChoixRationBovins&amp;$BB204,Règles_bovins[Ration]&amp;Règles_bovins[Aliment],0)),0),0)*IF(ChoixBovinsPréHiver=OUI,TotalVeauMâle_0_3_RacesLaitières,TotalBovinsMâles_0_3mois*NbreJoursNourrirBovins))</f>
        <v>0</v>
      </c>
      <c r="BJ204" s="334">
        <f t="shared" si="13"/>
        <v>0</v>
      </c>
      <c r="BK204" s="276"/>
      <c r="BL204" s="276"/>
      <c r="BX204" s="332" t="str">
        <f t="shared" si="14"/>
        <v>concentré jeunes lapins</v>
      </c>
      <c r="BY204" s="333">
        <f t="array" ref="BY204">SUM((IF(QualitéAlimentsChevreau_0_3_mois=BONNE,VLOOKUP("Concentré jeunes lapins",AlimentsRationCaprinsMâles,5,FALSE),0)+(IF(QualitéAlimentsChevrette_0_3_mois=BONNE,VLOOKUP("Concentré jeunes lapins",AlimentsRationCaprinsFemelles,5,FALSE),0)+(IF(QualitéAlimentsChevreau_3_6_mois=BONNE,VLOOKUP("Concentré jeunes lapins",AlimentsRationCaprinsMâles,4,FALSE),0)+(IF(QualitéAlimentsChevrette_3_6_mois=BONNE,VLOOKUP("Concentré jeunes lapins",AlimentsRationCaprinsFemelles,4,FALSE),0)+(IF(QualitéAlimentsJeuneBouc=BONNE,VLOOKUP("Concentré jeunes lapins",AlimentsRationCaprinsMâles,3,FALSE),0)+(IF(QualitéAlimentsJeuneChèvre=BONNE,VLOOKUP("Concentré jeunes lapins",AlimentsRationCaprinsFemelles,3,FALSE),0)+(IF(QualitéAlimentsBouc=BONNE,VLOOKUP("Concentré jeunes lapins",AlimentsRationCaprinsMâles,2,FALSE),0)+(IF(QualitéAlimentsChèvre=BONNE,VLOOKUP("Concentré jeunes lapins",AlimentsRationCaprinsFemelles,2,FALSE),0))))))))))</f>
        <v>0</v>
      </c>
      <c r="BZ204" s="333">
        <f t="array" ref="BZ204">SUM((IF(QualitéAlimentsChevreau_0_3_mois=MOYENNE,VLOOKUP("Concentré jeunes lapins",AlimentsRationCaprinsMâles,5,FALSE),0)+(IF(QualitéAlimentsChevrette_0_3_mois=MOYENNE,VLOOKUP("Concentré jeunes lapins",AlimentsRationCaprinsFemelles,5,FALSE),0)+(IF(QualitéAlimentsChevreau_3_6_mois=MOYENNE,VLOOKUP("Concentré jeunes lapins",AlimentsRationCaprinsMâles,4,FALSE),0)+(IF(QualitéAlimentsChevrette_3_6_mois=MOYENNE,VLOOKUP("Concentré jeunes lapins",AlimentsRationCaprinsFemelles,4,FALSE),0)+(IF(QualitéAlimentsJeuneBouc=MOYENNE,VLOOKUP("Concentré jeunes lapins",AlimentsRationCaprinsMâles,3,FALSE),0)+(IF(QualitéAlimentsJeuneChèvre=MOYENNE,VLOOKUP("Concentré jeunes lapins",AlimentsRationCaprinsFemelles,3,FALSE),0)+(IF(QualitéAlimentsBouc=MOYENNE,VLOOKUP("Concentré jeunes lapins",AlimentsRationCaprinsMâles,2,FALSE),0)+(IF(QualitéAlimentsChèvre=MOYENNE,VLOOKUP("Concentré jeunes lapins",AlimentsRationCaprinsFemelles,2,FALSE),0))))))))))</f>
        <v>0</v>
      </c>
      <c r="CA204" s="333">
        <f t="array" ref="CA204">SUM((IF(QualitéAlimentsChevreau_0_3_mois=MAUVAISE,VLOOKUP("Concentré jeunes lapins",AlimentsRationCaprinsMâles,5,FALSE),0)+(IF(QualitéAlimentsChevrette_0_3_mois=MAUVAISE,VLOOKUP("Concentré jeunes lapins",AlimentsRationCaprinsFemelles,5,FALSE),0)+(IF(QualitéAlimentsChevreau_3_6_mois=MAUVAISE,VLOOKUP("Concentré jeunes lapins",AlimentsRationCaprinsMâles,4,FALSE),0)+(IF(QualitéAlimentsChevrette_3_6_mois=MAUVAISE,VLOOKUP("Concentré jeunes lapins",AlimentsRationCaprinsFemelles,4,FALSE),0)+(IF(QualitéAlimentsJeuneBouc=MAUVAISE,VLOOKUP("Concentré jeunes lapins",AlimentsRationCaprinsMâles,3,FALSE),0)+(IF(QualitéAlimentsJeuneChèvre=MAUVAISE,VLOOKUP("Concentré jeunes lapins",AlimentsRationCaprinsFemelles,3,FALSE),0)+(IF(QualitéAlimentsBouc=MAUVAISE,VLOOKUP("Concentré jeunes lapins",AlimentsRationCaprinsMâles,2,FALSE),0)+(IF(QualitéAlimentsChèvre=MAUVAISE,VLOOKUP("Concentré jeunes lapins",AlimentsRationCaprinsFemelles,2,FALSE),0))))))))))</f>
        <v>0</v>
      </c>
      <c r="CB204" s="277"/>
      <c r="CC204" s="277"/>
      <c r="CD204" s="295"/>
      <c r="CE204" s="295"/>
      <c r="CF204" s="295"/>
      <c r="CG204" s="295"/>
      <c r="CH204" s="295"/>
    </row>
    <row r="205" spans="1:86" ht="12.75" customHeight="1" x14ac:dyDescent="0.2">
      <c r="BB205" s="332" t="s">
        <v>444</v>
      </c>
      <c r="BC205" s="333">
        <f t="array" ref="BC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36 et plus],MATCH(ChoixRationBovins&amp;$BB205,Règles_bovins[Ration]&amp;Règles_bovins[Aliment],0)),0),0)*IF(ChoixBovinsPréHiver=OUI,TotalTaureauxRacesLaitières,TotalTaureaux*NbreJoursNourrirBovins))</f>
        <v>0</v>
      </c>
      <c r="BD205" s="333">
        <f t="array" ref="BD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24-36],MATCH(ChoixRationBovins&amp;$BB205,Règles_bovins[Ration]&amp;Règles_bovins[Aliment],0)),0),0)*IF(ChoixBovinsPréHiver=OUI,TotalTaurillon_24_36_RacesLaitières,TotalBovinsMâles_24_36mois*NbreJoursNourrirBovins))</f>
        <v>0</v>
      </c>
      <c r="BE205" s="333">
        <f t="array" ref="BE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18-24],MATCH(ChoixRationBovins&amp;$BB205,Règles_bovins[Ration]&amp;Règles_bovins[Aliment],0)),0),0)*IF(ChoixBovinsPréHiver=OUI,TotalTaurillon_18_24_RacesLaitières,TotalBovinsMâles_18_24mois*NbreJoursNourrirBovins))</f>
        <v>0</v>
      </c>
      <c r="BF205" s="333">
        <f t="array" ref="BF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12-18],MATCH(ChoixRationBovins&amp;$BB205,Règles_bovins[Ration]&amp;Règles_bovins[Aliment],0)),0),0)*IF(ChoixBovinsPréHiver=OUI,animaux!D28,TotalBovinsMâles_12_18mois*NbreJoursNourrirBovins))</f>
        <v>0</v>
      </c>
      <c r="BG205" s="333">
        <f t="array" ref="BG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6-12],MATCH(ChoixRationBovins&amp;$BB205,Règles_bovins[Ration]&amp;Règles_bovins[Aliment],0)),0),0)*IF(ChoixBovinsPréHiver=OUI,TotalVeauMâle_6_12_RacesLaitières,TotalBovinsMâles_6_12mois*NbreJoursNourrirBovins))</f>
        <v>0</v>
      </c>
      <c r="BH205" s="333">
        <f t="array" ref="BH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3-6],MATCH(ChoixRationBovins&amp;$BB205,Règles_bovins[Ration]&amp;Règles_bovins[Aliment],0)),0),0)*IF(ChoixBovinsPréHiver=OUI,TotalVeauMâle_3_6_RacesLaitières,TotalBovinsMâles_3_6mois*NbreJoursNourrirBovins))</f>
        <v>0</v>
      </c>
      <c r="BI205" s="333">
        <f t="array" ref="BI205">IF(Ration_complète_bovins[somme]&gt;0,0,IFERROR(IF(OR(AND(INDEX(Règles_bovins[Specificite],MATCH(ChoixRationBovins&amp;$BB205,Règles_bovins[Ration]&amp;Règles_bovins[Aliment],0))="s1",IF($BB205=Spécificité1Bovins,1)),
AND(INDEX(Règles_bovins[Specificite],MATCH(ChoixRationBovins&amp;$BB205,Règles_bovins[Ration]&amp;Règles_bovins[Aliment],0))="s2",IF($BB205=Spécificité2Bovins,1)),
INDEX(Règles_bovins[Specificite],MATCH(ChoixRationBovins&amp;$BB205,Règles_bovins[Ration]&amp;Règles_bovins[Aliment],0))="c"),
INDEX(Règles_bovins[Valeur 0-3],MATCH(ChoixRationBovins&amp;$BB205,Règles_bovins[Ration]&amp;Règles_bovins[Aliment],0)),0),0)*IF(ChoixBovinsPréHiver=OUI,TotalVeauMâle_0_3_RacesLaitières,TotalBovinsMâles_0_3mois*NbreJoursNourrirBovins))</f>
        <v>0</v>
      </c>
      <c r="BJ205" s="334">
        <f>SUM($BC205:$BI205)</f>
        <v>0</v>
      </c>
      <c r="BK205" s="276"/>
      <c r="BL205" s="276"/>
      <c r="BX205" s="332" t="str">
        <f t="shared" si="14"/>
        <v>concentré jeunes porcins</v>
      </c>
      <c r="BY205" s="333">
        <f t="array" ref="BY205">SUM((IF(QualitéAlimentsChevreau_0_3_mois=BONNE,VLOOKUP("Concentré jeunes porcins",AlimentsRationCaprinsMâles,5,FALSE),0)+(IF(QualitéAlimentsChevrette_0_3_mois=BONNE,VLOOKUP("Concentré jeunes porcins",AlimentsRationCaprinsFemelles,5,FALSE),0)+(IF(QualitéAlimentsChevreau_3_6_mois=BONNE,VLOOKUP("Concentré jeunes porcins",AlimentsRationCaprinsMâles,4,FALSE),0)+(IF(QualitéAlimentsChevrette_3_6_mois=BONNE,VLOOKUP("Concentré jeunes porcins",AlimentsRationCaprinsFemelles,4,FALSE),0)+(IF(QualitéAlimentsJeuneBouc=BONNE,VLOOKUP("Concentré jeunes porcins",AlimentsRationCaprinsMâles,3,FALSE),0)+(IF(QualitéAlimentsJeuneChèvre=BONNE,VLOOKUP("Concentré jeunes porcins",AlimentsRationCaprinsFemelles,3,FALSE),0)+(IF(QualitéAlimentsBouc=BONNE,VLOOKUP("Concentré jeunes porcins",AlimentsRationCaprinsMâles,2,FALSE),0)+(IF(QualitéAlimentsChèvre=BONNE,VLOOKUP("Concentré jeunes porcins",AlimentsRationCaprinsFemelles,2,FALSE),0))))))))))</f>
        <v>0</v>
      </c>
      <c r="BZ205" s="333">
        <f t="array" ref="BZ205">SUM((IF(QualitéAlimentsChevreau_0_3_mois=MOYENNE,VLOOKUP("Concentré jeunes porcins",AlimentsRationCaprinsMâles,5,FALSE),0)+(IF(QualitéAlimentsChevrette_0_3_mois=MOYENNE,VLOOKUP("Concentré jeunes porcins",AlimentsRationCaprinsFemelles,5,FALSE),0)+(IF(QualitéAlimentsChevreau_3_6_mois=MOYENNE,VLOOKUP("Concentré jeunes porcins",AlimentsRationCaprinsMâles,4,FALSE),0)+(IF(QualitéAlimentsChevrette_3_6_mois=MOYENNE,VLOOKUP("Concentré jeunes porcins",AlimentsRationCaprinsFemelles,4,FALSE),0)+(IF(QualitéAlimentsJeuneBouc=MOYENNE,VLOOKUP("Concentré jeunes porcins",AlimentsRationCaprinsMâles,3,FALSE),0)+(IF(QualitéAlimentsJeuneChèvre=MOYENNE,VLOOKUP("Concentré jeunes porcins",AlimentsRationCaprinsFemelles,3,FALSE),0)+(IF(QualitéAlimentsBouc=MOYENNE,VLOOKUP("Concentré jeunes porcins",AlimentsRationCaprinsMâles,2,FALSE),0)+(IF(QualitéAlimentsChèvre=MOYENNE,VLOOKUP("Concentré jeunes porcins",AlimentsRationCaprinsFemelles,2,FALSE),0))))))))))</f>
        <v>0</v>
      </c>
      <c r="CA205" s="333">
        <f t="array" ref="CA205">SUM((IF(QualitéAlimentsChevreau_0_3_mois=MAUVAISE,VLOOKUP("Concentré jeunes porcins",AlimentsRationCaprinsMâles,5,FALSE),0)+(IF(QualitéAlimentsChevrette_0_3_mois=MAUVAISE,VLOOKUP("Concentré jeunes porcins",AlimentsRationCaprinsFemelles,5,FALSE),0)+(IF(QualitéAlimentsChevreau_3_6_mois=MAUVAISE,VLOOKUP("Concentré jeunes porcins",AlimentsRationCaprinsMâles,4,FALSE),0)+(IF(QualitéAlimentsChevrette_3_6_mois=MAUVAISE,VLOOKUP("Concentré jeunes porcins",AlimentsRationCaprinsFemelles,4,FALSE),0)+(IF(QualitéAlimentsJeuneBouc=MAUVAISE,VLOOKUP("Concentré jeunes porcins",AlimentsRationCaprinsMâles,3,FALSE),0)+(IF(QualitéAlimentsJeuneChèvre=MAUVAISE,VLOOKUP("Concentré jeunes porcins",AlimentsRationCaprinsFemelles,3,FALSE),0)+(IF(QualitéAlimentsBouc=MAUVAISE,VLOOKUP("Concentré jeunes porcins",AlimentsRationCaprinsMâles,2,FALSE),0)+(IF(QualitéAlimentsChèvre=MAUVAISE,VLOOKUP("Concentré jeunes porcins",AlimentsRationCaprinsFemelles,2,FALSE),0))))))))))</f>
        <v>0</v>
      </c>
      <c r="CB205" s="277"/>
      <c r="CC205" s="277"/>
      <c r="CD205" s="295"/>
      <c r="CE205" s="295"/>
      <c r="CF205" s="295"/>
      <c r="CG205" s="295"/>
      <c r="CH205" s="295"/>
    </row>
    <row r="206" spans="1:86" ht="12.75" customHeight="1" x14ac:dyDescent="0.2">
      <c r="A206" s="278"/>
      <c r="BB206" s="332" t="s">
        <v>186</v>
      </c>
      <c r="BC206" s="333">
        <f t="array" ref="BC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36 et plus],MATCH(ChoixRationBovins&amp;$BB206,Règles_bovins[Ration]&amp;Règles_bovins[Aliment],0)),0),0)*IF(ChoixBovinsPréHiver=OUI,TotalTaureauxRacesLaitières,TotalTaureaux*NbreJoursNourrirBovins))</f>
        <v>0</v>
      </c>
      <c r="BD206" s="333">
        <f t="array" ref="BD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24-36],MATCH(ChoixRationBovins&amp;$BB206,Règles_bovins[Ration]&amp;Règles_bovins[Aliment],0)),0),0)*IF(ChoixBovinsPréHiver=OUI,TotalTaurillon_24_36_RacesLaitières,TotalBovinsMâles_24_36mois*NbreJoursNourrirBovins))</f>
        <v>0</v>
      </c>
      <c r="BE206" s="333">
        <f t="array" ref="BE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18-24],MATCH(ChoixRationBovins&amp;$BB206,Règles_bovins[Ration]&amp;Règles_bovins[Aliment],0)),0),0)*IF(ChoixBovinsPréHiver=OUI,TotalTaurillon_18_24_RacesLaitières,TotalBovinsMâles_18_24mois*NbreJoursNourrirBovins))</f>
        <v>0</v>
      </c>
      <c r="BF206" s="333">
        <f t="array" ref="BF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12-18],MATCH(ChoixRationBovins&amp;$BB206,Règles_bovins[Ration]&amp;Règles_bovins[Aliment],0)),0),0)*IF(ChoixBovinsPréHiver=OUI,animaux!D29,TotalBovinsMâles_12_18mois*NbreJoursNourrirBovins))</f>
        <v>0</v>
      </c>
      <c r="BG206" s="333">
        <f t="array" ref="BG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6-12],MATCH(ChoixRationBovins&amp;$BB206,Règles_bovins[Ration]&amp;Règles_bovins[Aliment],0)),0),0)*IF(ChoixBovinsPréHiver=OUI,TotalVeauMâle_6_12_RacesLaitières,TotalBovinsMâles_6_12mois*NbreJoursNourrirBovins))</f>
        <v>0</v>
      </c>
      <c r="BH206" s="333">
        <f t="array" ref="BH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3-6],MATCH(ChoixRationBovins&amp;$BB206,Règles_bovins[Ration]&amp;Règles_bovins[Aliment],0)),0),0)*IF(ChoixBovinsPréHiver=OUI,TotalVeauMâle_3_6_RacesLaitières,TotalBovinsMâles_3_6mois*NbreJoursNourrirBovins))</f>
        <v>0</v>
      </c>
      <c r="BI206" s="333">
        <f t="array" ref="BI206">IF(Ration_complète_bovins[somme]&gt;0,0,IFERROR(IF(OR(AND(INDEX(Règles_bovins[Specificite],MATCH(ChoixRationBovins&amp;$BB206,Règles_bovins[Ration]&amp;Règles_bovins[Aliment],0))="s1",IF($BB206=Spécificité1Bovins,1)),
AND(INDEX(Règles_bovins[Specificite],MATCH(ChoixRationBovins&amp;$BB206,Règles_bovins[Ration]&amp;Règles_bovins[Aliment],0))="s2",IF($BB206=Spécificité2Bovins,1)),
INDEX(Règles_bovins[Specificite],MATCH(ChoixRationBovins&amp;$BB206,Règles_bovins[Ration]&amp;Règles_bovins[Aliment],0))="c"),
INDEX(Règles_bovins[Valeur 0-3],MATCH(ChoixRationBovins&amp;$BB206,Règles_bovins[Ration]&amp;Règles_bovins[Aliment],0)),0),0)*IF(ChoixBovinsPréHiver=OUI,TotalVeauMâle_0_3_RacesLaitières,TotalBovinsMâles_0_3mois*NbreJoursNourrirBovins))</f>
        <v>0</v>
      </c>
      <c r="BJ206" s="334">
        <f t="shared" si="13"/>
        <v>0</v>
      </c>
      <c r="BK206" s="276"/>
      <c r="BL206" s="276"/>
      <c r="BX206" s="332" t="str">
        <f t="shared" si="14"/>
        <v>Ensilage d'herbe</v>
      </c>
      <c r="BY206" s="333">
        <f t="array" ref="BY206">SUM((IF(QualitéAlimentsChevreau_0_3_mois=BONNE,VLOOKUP("Ensilage d'herbe",AlimentsRationCaprinsMâles,5,FALSE),0)+(IF(QualitéAlimentsChevrette_0_3_mois=BONNE,VLOOKUP("Ensilage d'herbe",AlimentsRationCaprinsFemelles,5,FALSE),0)+(IF(QualitéAlimentsChevreau_3_6_mois=BONNE,VLOOKUP("Ensilage d'herbe",AlimentsRationCaprinsMâles,4,FALSE),0)+(IF(QualitéAlimentsChevrette_3_6_mois=BONNE,VLOOKUP("Ensilage d'herbe",AlimentsRationCaprinsFemelles,4,FALSE),0)+(IF(QualitéAlimentsJeuneBouc=BONNE,VLOOKUP("Ensilage d'herbe",AlimentsRationCaprinsMâles,3,FALSE),0)+(IF(QualitéAlimentsJeuneChèvre=BONNE,VLOOKUP("Ensilage d'herbe",AlimentsRationCaprinsFemelles,3,FALSE),0)+(IF(QualitéAlimentsBouc=BONNE,VLOOKUP("Ensilage d'herbe",AlimentsRationCaprinsMâles,2,FALSE),0)+(IF(QualitéAlimentsChèvre=BONNE,VLOOKUP("Ensilage d'herbe",AlimentsRationCaprinsFemelles,2,FALSE),0))))))))))</f>
        <v>0</v>
      </c>
      <c r="BZ206" s="333">
        <f t="array" ref="BZ206">SUM((IF(QualitéAlimentsChevreau_0_3_mois=MOYENNE,VLOOKUP("Ensilage d'herbe",AlimentsRationCaprinsMâles,5,FALSE),0)+(IF(QualitéAlimentsChevrette_0_3_mois=MOYENNE,VLOOKUP("Ensilage d'herbe",AlimentsRationCaprinsFemelles,5,FALSE),0)+(IF(QualitéAlimentsChevreau_3_6_mois=MOYENNE,VLOOKUP("Ensilage d'herbe",AlimentsRationCaprinsMâles,4,FALSE),0)+(IF(QualitéAlimentsChevrette_3_6_mois=MOYENNE,VLOOKUP("Ensilage d'herbe",AlimentsRationCaprinsFemelles,4,FALSE),0)+(IF(QualitéAlimentsJeuneBouc=MOYENNE,VLOOKUP("Ensilage d'herbe",AlimentsRationCaprinsMâles,3,FALSE),0)+(IF(QualitéAlimentsJeuneChèvre=MOYENNE,VLOOKUP("Ensilage d'herbe",AlimentsRationCaprinsFemelles,3,FALSE),0)+(IF(QualitéAlimentsBouc=MOYENNE,VLOOKUP("Ensilage d'herbe",AlimentsRationCaprinsMâles,2,FALSE),0)+(IF(QualitéAlimentsChèvre=MOYENNE,VLOOKUP("Ensilage d'herbe",AlimentsRationCaprinsFemelles,2,FALSE),0))))))))))</f>
        <v>0</v>
      </c>
      <c r="CA206" s="333">
        <f t="array" ref="CA206">SUM((IF(QualitéAlimentsChevreau_0_3_mois=MAUVAISE,VLOOKUP("Ensilage d'herbe",AlimentsRationCaprinsMâles,5,FALSE),0)+(IF(QualitéAlimentsChevrette_0_3_mois=MAUVAISE,VLOOKUP("Ensilage d'herbe",AlimentsRationCaprinsFemelles,5,FALSE),0)+(IF(QualitéAlimentsChevreau_3_6_mois=MAUVAISE,VLOOKUP("Ensilage d'herbe",AlimentsRationCaprinsMâles,4,FALSE),0)+(IF(QualitéAlimentsChevrette_3_6_mois=MAUVAISE,VLOOKUP("Ensilage d'herbe",AlimentsRationCaprinsFemelles,4,FALSE),0)+(IF(QualitéAlimentsJeuneBouc=MAUVAISE,VLOOKUP("Ensilage d'herbe",AlimentsRationCaprinsMâles,3,FALSE),0)+(IF(QualitéAlimentsJeuneChèvre=MAUVAISE,VLOOKUP("Ensilage d'herbe",AlimentsRationCaprinsFemelles,3,FALSE),0)+(IF(QualitéAlimentsBouc=MAUVAISE,VLOOKUP("Ensilage d'herbe",AlimentsRationCaprinsMâles,2,FALSE),0)+(IF(QualitéAlimentsChèvre=MAUVAISE,VLOOKUP("Ensilage d'herbe",AlimentsRationCaprinsFemelles,2,FALSE),0))))))))))</f>
        <v>0</v>
      </c>
      <c r="CB206" s="277"/>
      <c r="CC206" s="277"/>
      <c r="CD206" s="295"/>
      <c r="CE206" s="295"/>
      <c r="CF206" s="295"/>
      <c r="CG206" s="295"/>
      <c r="CH206" s="295"/>
    </row>
    <row r="207" spans="1:86" ht="12.75" customHeight="1" x14ac:dyDescent="0.2">
      <c r="A207" s="278"/>
      <c r="BB207" s="332" t="s">
        <v>170</v>
      </c>
      <c r="BC207" s="333">
        <f t="array" ref="BC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36 et plus],MATCH(ChoixRationBovins&amp;$BB207,Règles_bovins[Ration]&amp;Règles_bovins[Aliment],0)),0),0)*IF(ChoixBovinsPréHiver=OUI,TotalTaureauxRacesLaitières,TotalTaureaux*NbreJoursNourrirBovins))</f>
        <v>0</v>
      </c>
      <c r="BD207" s="333">
        <f t="array" ref="BD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24-36],MATCH(ChoixRationBovins&amp;$BB207,Règles_bovins[Ration]&amp;Règles_bovins[Aliment],0)),0),0)*IF(ChoixBovinsPréHiver=OUI,TotalTaurillon_24_36_RacesLaitières,TotalBovinsMâles_24_36mois*NbreJoursNourrirBovins))</f>
        <v>0</v>
      </c>
      <c r="BE207" s="333">
        <f t="array" ref="BE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18-24],MATCH(ChoixRationBovins&amp;$BB207,Règles_bovins[Ration]&amp;Règles_bovins[Aliment],0)),0),0)*IF(ChoixBovinsPréHiver=OUI,TotalTaurillon_18_24_RacesLaitières,TotalBovinsMâles_18_24mois*NbreJoursNourrirBovins))</f>
        <v>0</v>
      </c>
      <c r="BF207" s="333">
        <f t="array" ref="BF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12-18],MATCH(ChoixRationBovins&amp;$BB207,Règles_bovins[Ration]&amp;Règles_bovins[Aliment],0)),0),0)*IF(ChoixBovinsPréHiver=OUI,animaux!D30,TotalBovinsMâles_12_18mois*NbreJoursNourrirBovins))</f>
        <v>0</v>
      </c>
      <c r="BG207" s="333">
        <f t="array" ref="BG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6-12],MATCH(ChoixRationBovins&amp;$BB207,Règles_bovins[Ration]&amp;Règles_bovins[Aliment],0)),0),0)*IF(ChoixBovinsPréHiver=OUI,TotalVeauMâle_6_12_RacesLaitières,TotalBovinsMâles_6_12mois*NbreJoursNourrirBovins))</f>
        <v>0</v>
      </c>
      <c r="BH207" s="333">
        <f t="array" ref="BH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3-6],MATCH(ChoixRationBovins&amp;$BB207,Règles_bovins[Ration]&amp;Règles_bovins[Aliment],0)),0),0)*IF(ChoixBovinsPréHiver=OUI,TotalVeauMâle_3_6_RacesLaitières,TotalBovinsMâles_3_6mois*NbreJoursNourrirBovins))</f>
        <v>0</v>
      </c>
      <c r="BI207" s="333">
        <f t="array" ref="BI207">IF(Ration_complète_bovins[somme]&gt;0,0,IFERROR(IF(OR(AND(INDEX(Règles_bovins[Specificite],MATCH(ChoixRationBovins&amp;$BB207,Règles_bovins[Ration]&amp;Règles_bovins[Aliment],0))="s1",IF($BB207=Spécificité1Bovins,1)),
AND(INDEX(Règles_bovins[Specificite],MATCH(ChoixRationBovins&amp;$BB207,Règles_bovins[Ration]&amp;Règles_bovins[Aliment],0))="s2",IF($BB207=Spécificité2Bovins,1)),
INDEX(Règles_bovins[Specificite],MATCH(ChoixRationBovins&amp;$BB207,Règles_bovins[Ration]&amp;Règles_bovins[Aliment],0))="c"),
INDEX(Règles_bovins[Valeur 0-3],MATCH(ChoixRationBovins&amp;$BB207,Règles_bovins[Ration]&amp;Règles_bovins[Aliment],0)),0),0)*IF(ChoixBovinsPréHiver=OUI,TotalVeauMâle_0_3_RacesLaitières,TotalBovinsMâles_0_3mois*NbreJoursNourrirBovins))</f>
        <v>0</v>
      </c>
      <c r="BJ207" s="334">
        <f t="shared" si="13"/>
        <v>0</v>
      </c>
      <c r="BK207" s="276"/>
      <c r="BL207" s="276"/>
      <c r="BX207" s="332" t="str">
        <f t="shared" si="14"/>
        <v>Eau</v>
      </c>
      <c r="BY207" s="333">
        <f t="array" ref="BY207">SUM((IF(QualitéAlimentsChevreau_0_3_mois=BONNE,VLOOKUP("Eau",AlimentsRationCaprinsMâles,5,FALSE),0)+(IF(QualitéAlimentsChevrette_0_3_mois=BONNE,VLOOKUP("Eau",AlimentsRationCaprinsFemelles,5,FALSE),0)+(IF(QualitéAlimentsChevreau_3_6_mois=BONNE,VLOOKUP("Eau",AlimentsRationCaprinsMâles,4,FALSE),0)+(IF(QualitéAlimentsChevrette_3_6_mois=BONNE,VLOOKUP("Eau",AlimentsRationCaprinsFemelles,4,FALSE),0)+(IF(QualitéAlimentsJeuneBouc=BONNE,VLOOKUP("Eau",AlimentsRationCaprinsMâles,3,FALSE),0)+(IF(QualitéAlimentsJeuneChèvre=BONNE,VLOOKUP("Eau",AlimentsRationCaprinsFemelles,3,FALSE),0)+(IF(QualitéAlimentsBouc=BONNE,VLOOKUP("Eau",AlimentsRationCaprinsMâles,2,FALSE),0)+(IF(QualitéAlimentsChèvre=BONNE,VLOOKUP("Eau",AlimentsRationCaprinsFemelles,2,FALSE),0))))))))))</f>
        <v>0</v>
      </c>
      <c r="BZ207" s="333">
        <f t="array" ref="BZ207">SUM((IF(QualitéAlimentsChevreau_0_3_mois=MOYENNE,VLOOKUP("Eau",AlimentsRationCaprinsMâles,5,FALSE),0)+(IF(QualitéAlimentsChevrette_0_3_mois=MOYENNE,VLOOKUP("Eau",AlimentsRationCaprinsFemelles,5,FALSE),0)+(IF(QualitéAlimentsChevreau_3_6_mois=MOYENNE,VLOOKUP("Eau",AlimentsRationCaprinsMâles,4,FALSE),0)+(IF(QualitéAlimentsChevrette_3_6_mois=MOYENNE,VLOOKUP("Eau",AlimentsRationCaprinsFemelles,4,FALSE),0)+(IF(QualitéAlimentsJeuneBouc=MOYENNE,VLOOKUP("Eau",AlimentsRationCaprinsMâles,3,FALSE),0)+(IF(QualitéAlimentsJeuneChèvre=MOYENNE,VLOOKUP("Eau",AlimentsRationCaprinsFemelles,3,FALSE),0)+(IF(QualitéAlimentsBouc=MOYENNE,VLOOKUP("Eau",AlimentsRationCaprinsMâles,2,FALSE),0)+(IF(QualitéAlimentsChèvre=MOYENNE,VLOOKUP("Eau",AlimentsRationCaprinsFemelles,2,FALSE),0))))))))))</f>
        <v>0</v>
      </c>
      <c r="CA207" s="333">
        <f t="array" ref="CA207">SUM((IF(QualitéAlimentsChevreau_0_3_mois=MAUVAISE,VLOOKUP("Eau",AlimentsRationCaprinsMâles,5,FALSE),0)+(IF(QualitéAlimentsChevrette_0_3_mois=MAUVAISE,VLOOKUP("Eau",AlimentsRationCaprinsFemelles,5,FALSE),0)+(IF(QualitéAlimentsChevreau_3_6_mois=MAUVAISE,VLOOKUP("Eau",AlimentsRationCaprinsMâles,4,FALSE),0)+(IF(QualitéAlimentsChevrette_3_6_mois=MAUVAISE,VLOOKUP("Eau",AlimentsRationCaprinsFemelles,4,FALSE),0)+(IF(QualitéAlimentsJeuneBouc=MAUVAISE,VLOOKUP("Eau",AlimentsRationCaprinsMâles,3,FALSE),0)+(IF(QualitéAlimentsJeuneChèvre=MAUVAISE,VLOOKUP("Eau",AlimentsRationCaprinsFemelles,3,FALSE),0)+(IF(QualitéAlimentsBouc=MAUVAISE,VLOOKUP("Eau",AlimentsRationCaprinsMâles,2,FALSE),0)+(IF(QualitéAlimentsChèvre=MAUVAISE,VLOOKUP("Eau",AlimentsRationCaprinsFemelles,2,FALSE),0))))))))))</f>
        <v>0</v>
      </c>
      <c r="CB207" s="277"/>
      <c r="CC207" s="277"/>
      <c r="CD207" s="295"/>
      <c r="CE207" s="295"/>
      <c r="CF207" s="295"/>
      <c r="CG207" s="295"/>
      <c r="CH207" s="295"/>
    </row>
    <row r="208" spans="1:86" ht="12.75" customHeight="1" x14ac:dyDescent="0.2">
      <c r="A208" s="278"/>
      <c r="BB208" s="332" t="s">
        <v>124</v>
      </c>
      <c r="BC208" s="333">
        <f t="array" ref="BC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36 et plus],MATCH(ChoixRationBovins&amp;$BB208,Règles_bovins[Ration]&amp;Règles_bovins[Aliment],0)),0),0)*IF(ChoixBovinsPréHiver=OUI,TotalTaureauxRacesLaitières,TotalTaureaux*NbreJoursNourrirBovins))</f>
        <v>0</v>
      </c>
      <c r="BD208" s="333">
        <f t="array" ref="BD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24-36],MATCH(ChoixRationBovins&amp;$BB208,Règles_bovins[Ration]&amp;Règles_bovins[Aliment],0)),0),0)*IF(ChoixBovinsPréHiver=OUI,TotalTaurillon_24_36_RacesLaitières,TotalBovinsMâles_24_36mois*NbreJoursNourrirBovins))</f>
        <v>0</v>
      </c>
      <c r="BE208" s="333">
        <f t="array" ref="BE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18-24],MATCH(ChoixRationBovins&amp;$BB208,Règles_bovins[Ration]&amp;Règles_bovins[Aliment],0)),0),0)*IF(ChoixBovinsPréHiver=OUI,TotalTaurillon_18_24_RacesLaitières,TotalBovinsMâles_18_24mois*NbreJoursNourrirBovins))</f>
        <v>0</v>
      </c>
      <c r="BF208" s="333">
        <f t="array" ref="BF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12-18],MATCH(ChoixRationBovins&amp;$BB208,Règles_bovins[Ration]&amp;Règles_bovins[Aliment],0)),0),0)*IF(ChoixBovinsPréHiver=OUI,animaux!D31,TotalBovinsMâles_12_18mois*NbreJoursNourrirBovins))</f>
        <v>0</v>
      </c>
      <c r="BG208" s="333">
        <f t="array" ref="BG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6-12],MATCH(ChoixRationBovins&amp;$BB208,Règles_bovins[Ration]&amp;Règles_bovins[Aliment],0)),0),0)*IF(ChoixBovinsPréHiver=OUI,TotalVeauMâle_6_12_RacesLaitières,TotalBovinsMâles_6_12mois*NbreJoursNourrirBovins))</f>
        <v>0</v>
      </c>
      <c r="BH208" s="333">
        <f t="array" ref="BH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3-6],MATCH(ChoixRationBovins&amp;$BB208,Règles_bovins[Ration]&amp;Règles_bovins[Aliment],0)),0),0)*IF(ChoixBovinsPréHiver=OUI,TotalVeauMâle_3_6_RacesLaitières,TotalBovinsMâles_3_6mois*NbreJoursNourrirBovins))</f>
        <v>0</v>
      </c>
      <c r="BI208" s="333">
        <f t="array" ref="BI208">IF(Ration_complète_bovins[somme]&gt;0,0,IFERROR(IF(OR(AND(INDEX(Règles_bovins[Specificite],MATCH(ChoixRationBovins&amp;$BB208,Règles_bovins[Ration]&amp;Règles_bovins[Aliment],0))="s1",IF($BB208=Spécificité1Bovins,1)),
AND(INDEX(Règles_bovins[Specificite],MATCH(ChoixRationBovins&amp;$BB208,Règles_bovins[Ration]&amp;Règles_bovins[Aliment],0))="s2",IF($BB208=Spécificité2Bovins,1)),
INDEX(Règles_bovins[Specificite],MATCH(ChoixRationBovins&amp;$BB208,Règles_bovins[Ration]&amp;Règles_bovins[Aliment],0))="c"),
INDEX(Règles_bovins[Valeur 0-3],MATCH(ChoixRationBovins&amp;$BB208,Règles_bovins[Ration]&amp;Règles_bovins[Aliment],0)),0),0)*IF(ChoixBovinsPréHiver=OUI,TotalVeauMâle_0_3_RacesLaitières,TotalBovinsMâles_0_3mois*NbreJoursNourrirBovins))</f>
        <v>0</v>
      </c>
      <c r="BJ208" s="334">
        <f t="shared" si="13"/>
        <v>0</v>
      </c>
      <c r="BK208" s="276"/>
      <c r="BL208" s="276"/>
      <c r="BX208" s="332" t="str">
        <f t="shared" si="14"/>
        <v>Epinard</v>
      </c>
      <c r="BY208" s="333">
        <f t="array" ref="BY208">SUM((IF(QualitéAlimentsChevreau_0_3_mois=BONNE,VLOOKUP("Epinard",AlimentsRationCaprinsMâles,5,FALSE),0)+(IF(QualitéAlimentsChevrette_0_3_mois=BONNE,VLOOKUP("Epinard",AlimentsRationCaprinsFemelles,5,FALSE),0)+(IF(QualitéAlimentsChevreau_3_6_mois=BONNE,VLOOKUP("Epinard",AlimentsRationCaprinsMâles,4,FALSE),0)+(IF(QualitéAlimentsChevrette_3_6_mois=BONNE,VLOOKUP("Epinard",AlimentsRationCaprinsFemelles,4,FALSE),0)+(IF(QualitéAlimentsJeuneBouc=BONNE,VLOOKUP("Epinard",AlimentsRationCaprinsMâles,3,FALSE),0)+(IF(QualitéAlimentsJeuneChèvre=BONNE,VLOOKUP("Epinard",AlimentsRationCaprinsFemelles,3,FALSE),0)+(IF(QualitéAlimentsBouc=BONNE,VLOOKUP("Epinard",AlimentsRationCaprinsMâles,2,FALSE),0)+(IF(QualitéAlimentsChèvre=BONNE,VLOOKUP("Epinard",AlimentsRationCaprinsFemelles,2,FALSE),0))))))))))</f>
        <v>0</v>
      </c>
      <c r="BZ208" s="333">
        <f t="array" ref="BZ208">SUM((IF(QualitéAlimentsChevreau_0_3_mois=MOYENNE,VLOOKUP("Epinard",AlimentsRationCaprinsMâles,5,FALSE),0)+(IF(QualitéAlimentsChevrette_0_3_mois=MOYENNE,VLOOKUP("Epinard",AlimentsRationCaprinsFemelles,5,FALSE),0)+(IF(QualitéAlimentsChevreau_3_6_mois=MOYENNE,VLOOKUP("Epinard",AlimentsRationCaprinsMâles,4,FALSE),0)+(IF(QualitéAlimentsChevrette_3_6_mois=MOYENNE,VLOOKUP("Epinard",AlimentsRationCaprinsFemelles,4,FALSE),0)+(IF(QualitéAlimentsJeuneBouc=MOYENNE,VLOOKUP("Epinard",AlimentsRationCaprinsMâles,3,FALSE),0)+(IF(QualitéAlimentsJeuneChèvre=MOYENNE,VLOOKUP("Epinard",AlimentsRationCaprinsFemelles,3,FALSE),0)+(IF(QualitéAlimentsBouc=MOYENNE,VLOOKUP("Epinard",AlimentsRationCaprinsMâles,2,FALSE),0)+(IF(QualitéAlimentsChèvre=MOYENNE,VLOOKUP("Epinard",AlimentsRationCaprinsFemelles,2,FALSE),0))))))))))</f>
        <v>0</v>
      </c>
      <c r="CA208" s="333">
        <f t="array" ref="CA208">SUM((IF(QualitéAlimentsChevreau_0_3_mois=MAUVAISE,VLOOKUP("Epinard",AlimentsRationCaprinsMâles,5,FALSE),0)+(IF(QualitéAlimentsChevrette_0_3_mois=MAUVAISE,VLOOKUP("Epinard",AlimentsRationCaprinsFemelles,5,FALSE),0)+(IF(QualitéAlimentsChevreau_3_6_mois=MAUVAISE,VLOOKUP("Epinard",AlimentsRationCaprinsMâles,4,FALSE),0)+(IF(QualitéAlimentsChevrette_3_6_mois=MAUVAISE,VLOOKUP("Epinard",AlimentsRationCaprinsFemelles,4,FALSE),0)+(IF(QualitéAlimentsJeuneBouc=MAUVAISE,VLOOKUP("Epinard",AlimentsRationCaprinsMâles,3,FALSE),0)+(IF(QualitéAlimentsJeuneChèvre=MAUVAISE,VLOOKUP("Epinard",AlimentsRationCaprinsFemelles,3,FALSE),0)+(IF(QualitéAlimentsBouc=MAUVAISE,VLOOKUP("Epinard",AlimentsRationCaprinsMâles,2,FALSE),0)+(IF(QualitéAlimentsChèvre=MAUVAISE,VLOOKUP("Epinard",AlimentsRationCaprinsFemelles,2,FALSE),0))))))))))</f>
        <v>0</v>
      </c>
      <c r="CB208" s="294"/>
      <c r="CC208" s="294"/>
      <c r="CD208" s="295"/>
      <c r="CE208" s="295"/>
      <c r="CF208" s="295"/>
      <c r="CG208" s="295"/>
      <c r="CH208" s="295"/>
    </row>
    <row r="209" spans="1:86" ht="12.75" customHeight="1" x14ac:dyDescent="0.2">
      <c r="A209" s="276"/>
      <c r="B209" s="276"/>
      <c r="BB209" s="332" t="s">
        <v>187</v>
      </c>
      <c r="BC209" s="333">
        <f t="array" ref="BC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36 et plus],MATCH(ChoixRationBovins&amp;$BB209,Règles_bovins[Ration]&amp;Règles_bovins[Aliment],0)),0),0)*IF(ChoixBovinsPréHiver=OUI,TotalTaureauxRacesLaitières,TotalTaureaux*NbreJoursNourrirBovins))</f>
        <v>0</v>
      </c>
      <c r="BD209" s="333">
        <f t="array" ref="BD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24-36],MATCH(ChoixRationBovins&amp;$BB209,Règles_bovins[Ration]&amp;Règles_bovins[Aliment],0)),0),0)*IF(ChoixBovinsPréHiver=OUI,TotalTaurillon_24_36_RacesLaitières,TotalBovinsMâles_24_36mois*NbreJoursNourrirBovins))</f>
        <v>0</v>
      </c>
      <c r="BE209" s="333">
        <f t="array" ref="BE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18-24],MATCH(ChoixRationBovins&amp;$BB209,Règles_bovins[Ration]&amp;Règles_bovins[Aliment],0)),0),0)*IF(ChoixBovinsPréHiver=OUI,TotalTaurillon_18_24_RacesLaitières,TotalBovinsMâles_18_24mois*NbreJoursNourrirBovins))</f>
        <v>0</v>
      </c>
      <c r="BF209" s="333">
        <f t="array" ref="BF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12-18],MATCH(ChoixRationBovins&amp;$BB209,Règles_bovins[Ration]&amp;Règles_bovins[Aliment],0)),0),0)*IF(ChoixBovinsPréHiver=OUI,animaux!D32,TotalBovinsMâles_12_18mois*NbreJoursNourrirBovins))</f>
        <v>0</v>
      </c>
      <c r="BG209" s="333">
        <f t="array" ref="BG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6-12],MATCH(ChoixRationBovins&amp;$BB209,Règles_bovins[Ration]&amp;Règles_bovins[Aliment],0)),0),0)*IF(ChoixBovinsPréHiver=OUI,TotalVeauMâle_6_12_RacesLaitières,TotalBovinsMâles_6_12mois*NbreJoursNourrirBovins))</f>
        <v>0</v>
      </c>
      <c r="BH209" s="333">
        <f t="array" ref="BH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3-6],MATCH(ChoixRationBovins&amp;$BB209,Règles_bovins[Ration]&amp;Règles_bovins[Aliment],0)),0),0)*IF(ChoixBovinsPréHiver=OUI,TotalVeauMâle_3_6_RacesLaitières,TotalBovinsMâles_3_6mois*NbreJoursNourrirBovins))</f>
        <v>0</v>
      </c>
      <c r="BI209" s="333">
        <f t="array" ref="BI209">IF(Ration_complète_bovins[somme]&gt;0,0,IFERROR(IF(OR(AND(INDEX(Règles_bovins[Specificite],MATCH(ChoixRationBovins&amp;$BB209,Règles_bovins[Ration]&amp;Règles_bovins[Aliment],0))="s1",IF($BB209=Spécificité1Bovins,1)),
AND(INDEX(Règles_bovins[Specificite],MATCH(ChoixRationBovins&amp;$BB209,Règles_bovins[Ration]&amp;Règles_bovins[Aliment],0))="s2",IF($BB209=Spécificité2Bovins,1)),
INDEX(Règles_bovins[Specificite],MATCH(ChoixRationBovins&amp;$BB209,Règles_bovins[Ration]&amp;Règles_bovins[Aliment],0))="c"),
INDEX(Règles_bovins[Valeur 0-3],MATCH(ChoixRationBovins&amp;$BB209,Règles_bovins[Ration]&amp;Règles_bovins[Aliment],0)),0),0)*IF(ChoixBovinsPréHiver=OUI,TotalVeauMâle_0_3_RacesLaitières,TotalBovinsMâles_0_3mois*NbreJoursNourrirBovins))</f>
        <v>0</v>
      </c>
      <c r="BJ209" s="334">
        <f t="shared" si="13"/>
        <v>0</v>
      </c>
      <c r="BK209" s="276"/>
      <c r="BL209" s="276"/>
      <c r="BX209" s="332" t="str">
        <f t="shared" si="14"/>
        <v>Féverole</v>
      </c>
      <c r="BY209" s="333">
        <f t="array" ref="BY209">SUM((IF(QualitéAlimentsChevreau_0_3_mois=BONNE,VLOOKUP("Féverole",AlimentsRationCaprinsMâles,5,FALSE),0)+(IF(QualitéAlimentsChevrette_0_3_mois=BONNE,VLOOKUP("Féverole",AlimentsRationCaprinsFemelles,5,FALSE),0)+(IF(QualitéAlimentsChevreau_3_6_mois=BONNE,VLOOKUP("Féverole",AlimentsRationCaprinsMâles,4,FALSE),0)+(IF(QualitéAlimentsChevrette_3_6_mois=BONNE,VLOOKUP("Féverole",AlimentsRationCaprinsFemelles,4,FALSE),0)+(IF(QualitéAlimentsJeuneBouc=BONNE,VLOOKUP("Féverole",AlimentsRationCaprinsMâles,3,FALSE),0)+(IF(QualitéAlimentsJeuneChèvre=BONNE,VLOOKUP("Féverole",AlimentsRationCaprinsFemelles,3,FALSE),0)+(IF(QualitéAlimentsBouc=BONNE,VLOOKUP("Féverole",AlimentsRationCaprinsMâles,2,FALSE),0)+(IF(QualitéAlimentsChèvre=BONNE,VLOOKUP("Féverole",AlimentsRationCaprinsFemelles,2,FALSE),0))))))))))</f>
        <v>0</v>
      </c>
      <c r="BZ209" s="333">
        <f t="array" ref="BZ209">SUM((IF(QualitéAlimentsChevreau_0_3_mois=MOYENNE,VLOOKUP("Féverole",AlimentsRationCaprinsMâles,5,FALSE),0)+(IF(QualitéAlimentsChevrette_0_3_mois=MOYENNE,VLOOKUP("Féverole",AlimentsRationCaprinsFemelles,5,FALSE),0)+(IF(QualitéAlimentsChevreau_3_6_mois=MOYENNE,VLOOKUP("Féverole",AlimentsRationCaprinsMâles,4,FALSE),0)+(IF(QualitéAlimentsChevrette_3_6_mois=MOYENNE,VLOOKUP("Féverole",AlimentsRationCaprinsFemelles,4,FALSE),0)+(IF(QualitéAlimentsJeuneBouc=MOYENNE,VLOOKUP("Féverole",AlimentsRationCaprinsMâles,3,FALSE),0)+(IF(QualitéAlimentsJeuneChèvre=MOYENNE,VLOOKUP("Féverole",AlimentsRationCaprinsFemelles,3,FALSE),0)+(IF(QualitéAlimentsBouc=MOYENNE,VLOOKUP("Féverole",AlimentsRationCaprinsMâles,2,FALSE),0)+(IF(QualitéAlimentsChèvre=MOYENNE,VLOOKUP("Féverole",AlimentsRationCaprinsFemelles,2,FALSE),0))))))))))</f>
        <v>0</v>
      </c>
      <c r="CA209" s="333">
        <f t="array" ref="CA209">SUM((IF(QualitéAlimentsChevreau_0_3_mois=MAUVAISE,VLOOKUP("Féverole",AlimentsRationCaprinsMâles,5,FALSE),0)+(IF(QualitéAlimentsChevrette_0_3_mois=MAUVAISE,VLOOKUP("Féverole",AlimentsRationCaprinsFemelles,5,FALSE),0)+(IF(QualitéAlimentsChevreau_3_6_mois=MAUVAISE,VLOOKUP("Féverole",AlimentsRationCaprinsMâles,4,FALSE),0)+(IF(QualitéAlimentsChevrette_3_6_mois=MAUVAISE,VLOOKUP("Féverole",AlimentsRationCaprinsFemelles,4,FALSE),0)+(IF(QualitéAlimentsJeuneBouc=MAUVAISE,VLOOKUP("Féverole",AlimentsRationCaprinsMâles,3,FALSE),0)+(IF(QualitéAlimentsJeuneChèvre=MAUVAISE,VLOOKUP("Féverole",AlimentsRationCaprinsFemelles,3,FALSE),0)+(IF(QualitéAlimentsBouc=MAUVAISE,VLOOKUP("Féverole",AlimentsRationCaprinsMâles,2,FALSE),0)+(IF(QualitéAlimentsChèvre=MAUVAISE,VLOOKUP("Féverole",AlimentsRationCaprinsFemelles,2,FALSE),0))))))))))</f>
        <v>0</v>
      </c>
      <c r="CB209" s="277"/>
      <c r="CC209" s="277"/>
      <c r="CD209" s="295"/>
      <c r="CE209" s="295"/>
      <c r="CF209" s="295"/>
      <c r="CG209" s="295"/>
      <c r="CH209" s="295"/>
    </row>
    <row r="210" spans="1:86" ht="12.75" customHeight="1" x14ac:dyDescent="0.2">
      <c r="A210" s="276"/>
      <c r="B210" s="276"/>
      <c r="BB210" s="332" t="s">
        <v>188</v>
      </c>
      <c r="BC210" s="333">
        <f t="array" ref="BC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36 et plus],MATCH(ChoixRationBovins&amp;$BB210,Règles_bovins[Ration]&amp;Règles_bovins[Aliment],0)),0),0)*IF(ChoixBovinsPréHiver=OUI,TotalTaureauxRacesLaitières,TotalTaureaux*NbreJoursNourrirBovins))</f>
        <v>0</v>
      </c>
      <c r="BD210" s="333">
        <f t="array" ref="BD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24-36],MATCH(ChoixRationBovins&amp;$BB210,Règles_bovins[Ration]&amp;Règles_bovins[Aliment],0)),0),0)*IF(ChoixBovinsPréHiver=OUI,TotalTaurillon_24_36_RacesLaitières,TotalBovinsMâles_24_36mois*NbreJoursNourrirBovins))</f>
        <v>0</v>
      </c>
      <c r="BE210" s="333">
        <f t="array" ref="BE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18-24],MATCH(ChoixRationBovins&amp;$BB210,Règles_bovins[Ration]&amp;Règles_bovins[Aliment],0)),0),0)*IF(ChoixBovinsPréHiver=OUI,TotalTaurillon_18_24_RacesLaitières,TotalBovinsMâles_18_24mois*NbreJoursNourrirBovins))</f>
        <v>0</v>
      </c>
      <c r="BF210" s="333">
        <f t="array" ref="BF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12-18],MATCH(ChoixRationBovins&amp;$BB210,Règles_bovins[Ration]&amp;Règles_bovins[Aliment],0)),0),0)*IF(ChoixBovinsPréHiver=OUI,animaux!D33,TotalBovinsMâles_12_18mois*NbreJoursNourrirBovins))</f>
        <v>0</v>
      </c>
      <c r="BG210" s="333">
        <f t="array" ref="BG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6-12],MATCH(ChoixRationBovins&amp;$BB210,Règles_bovins[Ration]&amp;Règles_bovins[Aliment],0)),0),0)*IF(ChoixBovinsPréHiver=OUI,TotalVeauMâle_6_12_RacesLaitières,TotalBovinsMâles_6_12mois*NbreJoursNourrirBovins))</f>
        <v>0</v>
      </c>
      <c r="BH210" s="333">
        <f t="array" ref="BH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3-6],MATCH(ChoixRationBovins&amp;$BB210,Règles_bovins[Ration]&amp;Règles_bovins[Aliment],0)),0),0)*IF(ChoixBovinsPréHiver=OUI,TotalVeauMâle_3_6_RacesLaitières,TotalBovinsMâles_3_6mois*NbreJoursNourrirBovins))</f>
        <v>0</v>
      </c>
      <c r="BI210" s="333">
        <f t="array" ref="BI210">IF(Ration_complète_bovins[somme]&gt;0,0,IFERROR(IF(OR(AND(INDEX(Règles_bovins[Specificite],MATCH(ChoixRationBovins&amp;$BB210,Règles_bovins[Ration]&amp;Règles_bovins[Aliment],0))="s1",IF($BB210=Spécificité1Bovins,1)),
AND(INDEX(Règles_bovins[Specificite],MATCH(ChoixRationBovins&amp;$BB210,Règles_bovins[Ration]&amp;Règles_bovins[Aliment],0))="s2",IF($BB210=Spécificité2Bovins,1)),
INDEX(Règles_bovins[Specificite],MATCH(ChoixRationBovins&amp;$BB210,Règles_bovins[Ration]&amp;Règles_bovins[Aliment],0))="c"),
INDEX(Règles_bovins[Valeur 0-3],MATCH(ChoixRationBovins&amp;$BB210,Règles_bovins[Ration]&amp;Règles_bovins[Aliment],0)),0),0)*IF(ChoixBovinsPréHiver=OUI,TotalVeauMâle_0_3_RacesLaitières,TotalBovinsMâles_0_3mois*NbreJoursNourrirBovins))</f>
        <v>0</v>
      </c>
      <c r="BJ210" s="334">
        <f t="shared" si="13"/>
        <v>0</v>
      </c>
      <c r="BK210" s="276"/>
      <c r="BL210" s="276"/>
      <c r="BX210" s="332" t="str">
        <f t="shared" si="14"/>
        <v>Foin</v>
      </c>
      <c r="BY210" s="333">
        <f t="array" ref="BY210">SUM((IF(QualitéAlimentsChevreau_0_3_mois=BONNE,VLOOKUP("Foin",AlimentsRationCaprinsMâles,5,FALSE),0)+(IF(QualitéAlimentsChevrette_0_3_mois=BONNE,VLOOKUP("Foin",AlimentsRationCaprinsFemelles,5,FALSE),0)+(IF(QualitéAlimentsChevreau_3_6_mois=BONNE,VLOOKUP("Foin",AlimentsRationCaprinsMâles,4,FALSE),0)+(IF(QualitéAlimentsChevrette_3_6_mois=BONNE,VLOOKUP("Foin",AlimentsRationCaprinsFemelles,4,FALSE),0)+(IF(QualitéAlimentsJeuneBouc=BONNE,VLOOKUP("Foin",AlimentsRationCaprinsMâles,3,FALSE),0)+(IF(QualitéAlimentsJeuneChèvre=BONNE,VLOOKUP("Foin",AlimentsRationCaprinsFemelles,3,FALSE),0)+(IF(QualitéAlimentsBouc=BONNE,VLOOKUP("Foin",AlimentsRationCaprinsMâles,2,FALSE),0)+(IF(QualitéAlimentsChèvre=BONNE,VLOOKUP("Foin",AlimentsRationCaprinsFemelles,2,FALSE),0))))))))))</f>
        <v>0</v>
      </c>
      <c r="BZ210" s="333">
        <f t="array" ref="BZ210">SUM((IF(QualitéAlimentsChevreau_0_3_mois=MOYENNE,VLOOKUP("Foin",AlimentsRationCaprinsMâles,5,FALSE),0)+(IF(QualitéAlimentsChevrette_0_3_mois=MOYENNE,VLOOKUP("Foin",AlimentsRationCaprinsFemelles,5,FALSE),0)+(IF(QualitéAlimentsChevreau_3_6_mois=MOYENNE,VLOOKUP("Foin",AlimentsRationCaprinsMâles,4,FALSE),0)+(IF(QualitéAlimentsChevrette_3_6_mois=MOYENNE,VLOOKUP("Foin",AlimentsRationCaprinsFemelles,4,FALSE),0)+(IF(QualitéAlimentsJeuneBouc=MOYENNE,VLOOKUP("Foin",AlimentsRationCaprinsMâles,3,FALSE),0)+(IF(QualitéAlimentsJeuneChèvre=MOYENNE,VLOOKUP("Foin",AlimentsRationCaprinsFemelles,3,FALSE),0)+(IF(QualitéAlimentsBouc=MOYENNE,VLOOKUP("Foin",AlimentsRationCaprinsMâles,2,FALSE),0)+(IF(QualitéAlimentsChèvre=MOYENNE,VLOOKUP("Foin",AlimentsRationCaprinsFemelles,2,FALSE),0))))))))))</f>
        <v>0</v>
      </c>
      <c r="CA210" s="333">
        <f t="array" ref="CA210">SUM((IF(QualitéAlimentsChevreau_0_3_mois=MAUVAISE,VLOOKUP("Foin",AlimentsRationCaprinsMâles,5,FALSE),0)+(IF(QualitéAlimentsChevrette_0_3_mois=MAUVAISE,VLOOKUP("Foin",AlimentsRationCaprinsFemelles,5,FALSE),0)+(IF(QualitéAlimentsChevreau_3_6_mois=MAUVAISE,VLOOKUP("Foin",AlimentsRationCaprinsMâles,4,FALSE),0)+(IF(QualitéAlimentsChevrette_3_6_mois=MAUVAISE,VLOOKUP("Foin",AlimentsRationCaprinsFemelles,4,FALSE),0)+(IF(QualitéAlimentsJeuneBouc=MAUVAISE,VLOOKUP("Foin",AlimentsRationCaprinsMâles,3,FALSE),0)+(IF(QualitéAlimentsJeuneChèvre=MAUVAISE,VLOOKUP("Foin",AlimentsRationCaprinsFemelles,3,FALSE),0)+(IF(QualitéAlimentsBouc=MAUVAISE,VLOOKUP("Foin",AlimentsRationCaprinsMâles,2,FALSE),0)+(IF(QualitéAlimentsChèvre=MAUVAISE,VLOOKUP("Foin",AlimentsRationCaprinsFemelles,2,FALSE),0))))))))))</f>
        <v>0</v>
      </c>
      <c r="CB210" s="277"/>
      <c r="CC210" s="277"/>
      <c r="CD210" s="295"/>
      <c r="CE210" s="295"/>
      <c r="CF210" s="295"/>
      <c r="CG210" s="295"/>
      <c r="CH210" s="295"/>
    </row>
    <row r="211" spans="1:86" ht="12.75" customHeight="1" x14ac:dyDescent="0.2">
      <c r="A211" s="276"/>
      <c r="B211" s="276"/>
      <c r="BB211" s="332" t="s">
        <v>190</v>
      </c>
      <c r="BC211" s="333">
        <f t="array" ref="BC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36 et plus],MATCH(ChoixRationBovins&amp;$BB211,Règles_bovins[Ration]&amp;Règles_bovins[Aliment],0)),0),0)*IF(ChoixBovinsPréHiver=OUI,TotalTaureauxRacesLaitières,TotalTaureaux*NbreJoursNourrirBovins))</f>
        <v>0</v>
      </c>
      <c r="BD211" s="333">
        <f t="array" ref="BD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24-36],MATCH(ChoixRationBovins&amp;$BB211,Règles_bovins[Ration]&amp;Règles_bovins[Aliment],0)),0),0)*IF(ChoixBovinsPréHiver=OUI,TotalTaurillon_24_36_RacesLaitières,TotalBovinsMâles_24_36mois*NbreJoursNourrirBovins))</f>
        <v>0</v>
      </c>
      <c r="BE211" s="333">
        <f t="array" ref="BE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18-24],MATCH(ChoixRationBovins&amp;$BB211,Règles_bovins[Ration]&amp;Règles_bovins[Aliment],0)),0),0)*IF(ChoixBovinsPréHiver=OUI,TotalTaurillon_18_24_RacesLaitières,TotalBovinsMâles_18_24mois*NbreJoursNourrirBovins))</f>
        <v>0</v>
      </c>
      <c r="BF211" s="333">
        <f t="array" ref="BF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12-18],MATCH(ChoixRationBovins&amp;$BB211,Règles_bovins[Ration]&amp;Règles_bovins[Aliment],0)),0),0)*IF(ChoixBovinsPréHiver=OUI,animaux!D34,TotalBovinsMâles_12_18mois*NbreJoursNourrirBovins))</f>
        <v>0</v>
      </c>
      <c r="BG211" s="333">
        <f t="array" ref="BG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6-12],MATCH(ChoixRationBovins&amp;$BB211,Règles_bovins[Ration]&amp;Règles_bovins[Aliment],0)),0),0)*IF(ChoixBovinsPréHiver=OUI,TotalVeauMâle_6_12_RacesLaitières,TotalBovinsMâles_6_12mois*NbreJoursNourrirBovins))</f>
        <v>0</v>
      </c>
      <c r="BH211" s="333">
        <f t="array" ref="BH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3-6],MATCH(ChoixRationBovins&amp;$BB211,Règles_bovins[Ration]&amp;Règles_bovins[Aliment],0)),0),0)*IF(ChoixBovinsPréHiver=OUI,TotalVeauMâle_3_6_RacesLaitières,TotalBovinsMâles_3_6mois*NbreJoursNourrirBovins))</f>
        <v>0</v>
      </c>
      <c r="BI211" s="333">
        <f t="array" ref="BI211">IF(Ration_complète_bovins[somme]&gt;0,0,IFERROR(IF(OR(AND(INDEX(Règles_bovins[Specificite],MATCH(ChoixRationBovins&amp;$BB211,Règles_bovins[Ration]&amp;Règles_bovins[Aliment],0))="s1",IF($BB211=Spécificité1Bovins,1)),
AND(INDEX(Règles_bovins[Specificite],MATCH(ChoixRationBovins&amp;$BB211,Règles_bovins[Ration]&amp;Règles_bovins[Aliment],0))="s2",IF($BB211=Spécificité2Bovins,1)),
INDEX(Règles_bovins[Specificite],MATCH(ChoixRationBovins&amp;$BB211,Règles_bovins[Ration]&amp;Règles_bovins[Aliment],0))="c"),
INDEX(Règles_bovins[Valeur 0-3],MATCH(ChoixRationBovins&amp;$BB211,Règles_bovins[Ration]&amp;Règles_bovins[Aliment],0)),0),0)*IF(ChoixBovinsPréHiver=OUI,TotalVeauMâle_0_3_RacesLaitières,TotalBovinsMâles_0_3mois*NbreJoursNourrirBovins))</f>
        <v>0</v>
      </c>
      <c r="BJ211" s="334">
        <f t="shared" si="13"/>
        <v>0</v>
      </c>
      <c r="BK211" s="276"/>
      <c r="BL211" s="276"/>
      <c r="BX211" s="332" t="str">
        <f t="shared" si="14"/>
        <v>Haricot vert</v>
      </c>
      <c r="BY211" s="333">
        <f t="array" ref="BY211">SUM((IF(QualitéAlimentsChevreau_0_3_mois=BONNE,VLOOKUP("Haricot vert",AlimentsRationCaprinsMâles,5,FALSE),0)+(IF(QualitéAlimentsChevrette_0_3_mois=BONNE,VLOOKUP("Haricot vert",AlimentsRationCaprinsFemelles,5,FALSE),0)+(IF(QualitéAlimentsChevreau_3_6_mois=BONNE,VLOOKUP("Haricot vert",AlimentsRationCaprinsMâles,4,FALSE),0)+(IF(QualitéAlimentsChevrette_3_6_mois=BONNE,VLOOKUP("Haricot vert",AlimentsRationCaprinsFemelles,4,FALSE),0)+(IF(QualitéAlimentsJeuneBouc=BONNE,VLOOKUP("Haricot vert",AlimentsRationCaprinsMâles,3,FALSE),0)+(IF(QualitéAlimentsJeuneChèvre=BONNE,VLOOKUP("Haricot vert",AlimentsRationCaprinsFemelles,3,FALSE),0)+(IF(QualitéAlimentsBouc=BONNE,VLOOKUP("Haricot vert",AlimentsRationCaprinsMâles,2,FALSE),0)+(IF(QualitéAlimentsChèvre=BONNE,VLOOKUP("Haricot vert",AlimentsRationCaprinsFemelles,2,FALSE),0))))))))))</f>
        <v>0</v>
      </c>
      <c r="BZ211" s="333">
        <f t="array" ref="BZ211">SUM((IF(QualitéAlimentsChevreau_0_3_mois=MOYENNE,VLOOKUP("Haricot vert",AlimentsRationCaprinsMâles,5,FALSE),0)+(IF(QualitéAlimentsChevrette_0_3_mois=MOYENNE,VLOOKUP("Haricot vert",AlimentsRationCaprinsFemelles,5,FALSE),0)+(IF(QualitéAlimentsChevreau_3_6_mois=MOYENNE,VLOOKUP("Haricot vert",AlimentsRationCaprinsMâles,4,FALSE),0)+(IF(QualitéAlimentsChevrette_3_6_mois=MOYENNE,VLOOKUP("Haricot vert",AlimentsRationCaprinsFemelles,4,FALSE),0)+(IF(QualitéAlimentsJeuneBouc=MOYENNE,VLOOKUP("Haricot vert",AlimentsRationCaprinsMâles,3,FALSE),0)+(IF(QualitéAlimentsJeuneChèvre=MOYENNE,VLOOKUP("Haricot vert",AlimentsRationCaprinsFemelles,3,FALSE),0)+(IF(QualitéAlimentsBouc=MOYENNE,VLOOKUP("Haricot vert",AlimentsRationCaprinsMâles,2,FALSE),0)+(IF(QualitéAlimentsChèvre=MOYENNE,VLOOKUP("Haricot vert",AlimentsRationCaprinsFemelles,2,FALSE),0))))))))))</f>
        <v>0</v>
      </c>
      <c r="CA211" s="333">
        <f t="array" ref="CA211">SUM((IF(QualitéAlimentsChevreau_0_3_mois=MAUVAISE,VLOOKUP("Haricot vert",AlimentsRationCaprinsMâles,5,FALSE),0)+(IF(QualitéAlimentsChevrette_0_3_mois=MAUVAISE,VLOOKUP("Haricot vert",AlimentsRationCaprinsFemelles,5,FALSE),0)+(IF(QualitéAlimentsChevreau_3_6_mois=MAUVAISE,VLOOKUP("Haricot vert",AlimentsRationCaprinsMâles,4,FALSE),0)+(IF(QualitéAlimentsChevrette_3_6_mois=MAUVAISE,VLOOKUP("Haricot vert",AlimentsRationCaprinsFemelles,4,FALSE),0)+(IF(QualitéAlimentsJeuneBouc=MAUVAISE,VLOOKUP("Haricot vert",AlimentsRationCaprinsMâles,3,FALSE),0)+(IF(QualitéAlimentsJeuneChèvre=MAUVAISE,VLOOKUP("Haricot vert",AlimentsRationCaprinsFemelles,3,FALSE),0)+(IF(QualitéAlimentsBouc=MAUVAISE,VLOOKUP("Haricot vert",AlimentsRationCaprinsMâles,2,FALSE),0)+(IF(QualitéAlimentsChèvre=MAUVAISE,VLOOKUP("Haricot vert",AlimentsRationCaprinsFemelles,2,FALSE),0))))))))))</f>
        <v>0</v>
      </c>
      <c r="CB211" s="277"/>
      <c r="CC211" s="277"/>
      <c r="CD211" s="295"/>
      <c r="CE211" s="295"/>
      <c r="CF211" s="295"/>
      <c r="CG211" s="295"/>
      <c r="CH211" s="295"/>
    </row>
    <row r="212" spans="1:86" ht="12.75" customHeight="1" x14ac:dyDescent="0.2">
      <c r="A212" s="276"/>
      <c r="B212" s="276"/>
      <c r="BB212" s="332" t="s">
        <v>189</v>
      </c>
      <c r="BC212" s="333">
        <f t="array" ref="BC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36 et plus],MATCH(ChoixRationBovins&amp;$BB212,Règles_bovins[Ration]&amp;Règles_bovins[Aliment],0)),0),0)*IF(ChoixBovinsPréHiver=OUI,TotalTaureauxRacesLaitières,TotalTaureaux*NbreJoursNourrirBovins))</f>
        <v>0</v>
      </c>
      <c r="BD212" s="333">
        <f t="array" ref="BD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24-36],MATCH(ChoixRationBovins&amp;$BB212,Règles_bovins[Ration]&amp;Règles_bovins[Aliment],0)),0),0)*IF(ChoixBovinsPréHiver=OUI,TotalTaurillon_24_36_RacesLaitières,TotalBovinsMâles_24_36mois*NbreJoursNourrirBovins))</f>
        <v>0</v>
      </c>
      <c r="BE212" s="333">
        <f t="array" ref="BE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18-24],MATCH(ChoixRationBovins&amp;$BB212,Règles_bovins[Ration]&amp;Règles_bovins[Aliment],0)),0),0)*IF(ChoixBovinsPréHiver=OUI,TotalTaurillon_18_24_RacesLaitières,TotalBovinsMâles_18_24mois*NbreJoursNourrirBovins))</f>
        <v>0</v>
      </c>
      <c r="BF212" s="333">
        <f t="array" ref="BF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12-18],MATCH(ChoixRationBovins&amp;$BB212,Règles_bovins[Ration]&amp;Règles_bovins[Aliment],0)),0),0)*IF(ChoixBovinsPréHiver=OUI,animaux!D35,TotalBovinsMâles_12_18mois*NbreJoursNourrirBovins))</f>
        <v>0</v>
      </c>
      <c r="BG212" s="333">
        <f t="array" ref="BG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6-12],MATCH(ChoixRationBovins&amp;$BB212,Règles_bovins[Ration]&amp;Règles_bovins[Aliment],0)),0),0)*IF(ChoixBovinsPréHiver=OUI,TotalVeauMâle_6_12_RacesLaitières,TotalBovinsMâles_6_12mois*NbreJoursNourrirBovins))</f>
        <v>0</v>
      </c>
      <c r="BH212" s="333">
        <f t="array" ref="BH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3-6],MATCH(ChoixRationBovins&amp;$BB212,Règles_bovins[Ration]&amp;Règles_bovins[Aliment],0)),0),0)*IF(ChoixBovinsPréHiver=OUI,TotalVeauMâle_3_6_RacesLaitières,TotalBovinsMâles_3_6mois*NbreJoursNourrirBovins))</f>
        <v>0</v>
      </c>
      <c r="BI212" s="333">
        <f t="array" ref="BI212">IF(Ration_complète_bovins[somme]&gt;0,0,IFERROR(IF(OR(AND(INDEX(Règles_bovins[Specificite],MATCH(ChoixRationBovins&amp;$BB212,Règles_bovins[Ration]&amp;Règles_bovins[Aliment],0))="s1",IF($BB212=Spécificité1Bovins,1)),
AND(INDEX(Règles_bovins[Specificite],MATCH(ChoixRationBovins&amp;$BB212,Règles_bovins[Ration]&amp;Règles_bovins[Aliment],0))="s2",IF($BB212=Spécificité2Bovins,1)),
INDEX(Règles_bovins[Specificite],MATCH(ChoixRationBovins&amp;$BB212,Règles_bovins[Ration]&amp;Règles_bovins[Aliment],0))="c"),
INDEX(Règles_bovins[Valeur 0-3],MATCH(ChoixRationBovins&amp;$BB212,Règles_bovins[Ration]&amp;Règles_bovins[Aliment],0)),0),0)*IF(ChoixBovinsPréHiver=OUI,TotalVeauMâle_0_3_RacesLaitières,TotalBovinsMâles_0_3mois*NbreJoursNourrirBovins))</f>
        <v>0</v>
      </c>
      <c r="BJ212" s="334">
        <f t="shared" si="13"/>
        <v>0</v>
      </c>
      <c r="BK212" s="276"/>
      <c r="BL212" s="276"/>
      <c r="BX212" s="332" t="str">
        <f t="shared" si="14"/>
        <v>Lentille</v>
      </c>
      <c r="BY212" s="333">
        <f t="array" ref="BY212">SUM((IF(QualitéAlimentsChevreau_0_3_mois=BONNE,VLOOKUP("Lentille",AlimentsRationCaprinsMâles,5,FALSE),0)+(IF(QualitéAlimentsChevrette_0_3_mois=BONNE,VLOOKUP("Lentille",AlimentsRationCaprinsFemelles,5,FALSE),0)+(IF(QualitéAlimentsChevreau_3_6_mois=BONNE,VLOOKUP("Lentille",AlimentsRationCaprinsMâles,4,FALSE),0)+(IF(QualitéAlimentsChevrette_3_6_mois=BONNE,VLOOKUP("Lentille",AlimentsRationCaprinsFemelles,4,FALSE),0)+(IF(QualitéAlimentsJeuneBouc=BONNE,VLOOKUP("Lentille",AlimentsRationCaprinsMâles,3,FALSE),0)+(IF(QualitéAlimentsJeuneChèvre=BONNE,VLOOKUP("Lentille",AlimentsRationCaprinsFemelles,3,FALSE),0)+(IF(QualitéAlimentsBouc=BONNE,VLOOKUP("Lentille",AlimentsRationCaprinsMâles,2,FALSE),0)+(IF(QualitéAlimentsChèvre=BONNE,VLOOKUP("Lentille",AlimentsRationCaprinsFemelles,2,FALSE),0))))))))))</f>
        <v>0</v>
      </c>
      <c r="BZ212" s="333">
        <f t="array" ref="BZ212">SUM((IF(QualitéAlimentsChevreau_0_3_mois=MOYENNE,VLOOKUP("Lentille",AlimentsRationCaprinsMâles,5,FALSE),0)+(IF(QualitéAlimentsChevrette_0_3_mois=MOYENNE,VLOOKUP("Lentille",AlimentsRationCaprinsFemelles,5,FALSE),0)+(IF(QualitéAlimentsChevreau_3_6_mois=MOYENNE,VLOOKUP("Lentille",AlimentsRationCaprinsMâles,4,FALSE),0)+(IF(QualitéAlimentsChevrette_3_6_mois=MOYENNE,VLOOKUP("Lentille",AlimentsRationCaprinsFemelles,4,FALSE),0)+(IF(QualitéAlimentsJeuneBouc=MOYENNE,VLOOKUP("Lentille",AlimentsRationCaprinsMâles,3,FALSE),0)+(IF(QualitéAlimentsJeuneChèvre=MOYENNE,VLOOKUP("Lentille",AlimentsRationCaprinsFemelles,3,FALSE),0)+(IF(QualitéAlimentsBouc=MOYENNE,VLOOKUP("Lentille",AlimentsRationCaprinsMâles,2,FALSE),0)+(IF(QualitéAlimentsChèvre=MOYENNE,VLOOKUP("Lentille",AlimentsRationCaprinsFemelles,2,FALSE),0))))))))))</f>
        <v>0</v>
      </c>
      <c r="CA212" s="333">
        <f t="array" ref="CA212">SUM((IF(QualitéAlimentsChevreau_0_3_mois=MAUVAISE,VLOOKUP("Lentille",AlimentsRationCaprinsMâles,5,FALSE),0)+(IF(QualitéAlimentsChevrette_0_3_mois=MAUVAISE,VLOOKUP("Lentille",AlimentsRationCaprinsFemelles,5,FALSE),0)+(IF(QualitéAlimentsChevreau_3_6_mois=MAUVAISE,VLOOKUP("Lentille",AlimentsRationCaprinsMâles,4,FALSE),0)+(IF(QualitéAlimentsChevrette_3_6_mois=MAUVAISE,VLOOKUP("Lentille",AlimentsRationCaprinsFemelles,4,FALSE),0)+(IF(QualitéAlimentsJeuneBouc=MAUVAISE,VLOOKUP("Lentille",AlimentsRationCaprinsMâles,3,FALSE),0)+(IF(QualitéAlimentsJeuneChèvre=MAUVAISE,VLOOKUP("Lentille",AlimentsRationCaprinsFemelles,3,FALSE),0)+(IF(QualitéAlimentsBouc=MAUVAISE,VLOOKUP("Lentille",AlimentsRationCaprinsMâles,2,FALSE),0)+(IF(QualitéAlimentsChèvre=MAUVAISE,VLOOKUP("Lentille",AlimentsRationCaprinsFemelles,2,FALSE),0))))))))))</f>
        <v>0</v>
      </c>
      <c r="CB212" s="277"/>
      <c r="CC212" s="277"/>
      <c r="CD212" s="295"/>
      <c r="CE212" s="295"/>
      <c r="CF212" s="295"/>
      <c r="CG212" s="295"/>
      <c r="CH212" s="295"/>
    </row>
    <row r="213" spans="1:86" ht="12.75" customHeight="1" x14ac:dyDescent="0.2">
      <c r="A213" s="276"/>
      <c r="B213" s="276"/>
      <c r="BB213" s="332" t="s">
        <v>730</v>
      </c>
      <c r="BC213" s="333">
        <f t="array" ref="BC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36 et plus],MATCH(ChoixRationBovins&amp;$BB213,Règles_bovins[Ration]&amp;Règles_bovins[Aliment],0)),0),0)*IF(ChoixBovinsPréHiver=OUI,TotalTaureauxRacesLaitières,TotalTaureaux*NbreJoursNourrirBovins))</f>
        <v>0</v>
      </c>
      <c r="BD213" s="333">
        <f t="array" ref="BD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24-36],MATCH(ChoixRationBovins&amp;$BB213,Règles_bovins[Ration]&amp;Règles_bovins[Aliment],0)),0),0)*IF(ChoixBovinsPréHiver=OUI,TotalTaurillon_24_36_RacesLaitières,TotalBovinsMâles_24_36mois*NbreJoursNourrirBovins))</f>
        <v>0</v>
      </c>
      <c r="BE213" s="333">
        <f t="array" ref="BE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18-24],MATCH(ChoixRationBovins&amp;$BB213,Règles_bovins[Ration]&amp;Règles_bovins[Aliment],0)),0),0)*IF(ChoixBovinsPréHiver=OUI,TotalTaurillon_18_24_RacesLaitières,TotalBovinsMâles_18_24mois*NbreJoursNourrirBovins))</f>
        <v>0</v>
      </c>
      <c r="BF213" s="333">
        <f t="array" ref="BF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12-18],MATCH(ChoixRationBovins&amp;$BB213,Règles_bovins[Ration]&amp;Règles_bovins[Aliment],0)),0),0)*IF(ChoixBovinsPréHiver=OUI,animaux!D36,TotalBovinsMâles_12_18mois*NbreJoursNourrirBovins))</f>
        <v>0</v>
      </c>
      <c r="BG213" s="333">
        <f t="array" ref="BG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6-12],MATCH(ChoixRationBovins&amp;$BB213,Règles_bovins[Ration]&amp;Règles_bovins[Aliment],0)),0),0)*IF(ChoixBovinsPréHiver=OUI,TotalVeauMâle_6_12_RacesLaitières,TotalBovinsMâles_6_12mois*NbreJoursNourrirBovins))</f>
        <v>0</v>
      </c>
      <c r="BH213" s="333">
        <f t="array" ref="BH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3-6],MATCH(ChoixRationBovins&amp;$BB213,Règles_bovins[Ration]&amp;Règles_bovins[Aliment],0)),0),0)*IF(ChoixBovinsPréHiver=OUI,TotalVeauMâle_3_6_RacesLaitières,TotalBovinsMâles_3_6mois*NbreJoursNourrirBovins))</f>
        <v>0</v>
      </c>
      <c r="BI213" s="333">
        <f t="array" ref="BI213">IF(Ration_complète_bovins[somme]&gt;0,0,IFERROR(IF(OR(AND(INDEX(Règles_bovins[Specificite],MATCH(ChoixRationBovins&amp;$BB213,Règles_bovins[Ration]&amp;Règles_bovins[Aliment],0))="s1",IF($BB213=Spécificité1Bovins,1)),
AND(INDEX(Règles_bovins[Specificite],MATCH(ChoixRationBovins&amp;$BB213,Règles_bovins[Ration]&amp;Règles_bovins[Aliment],0))="s2",IF($BB213=Spécificité2Bovins,1)),
INDEX(Règles_bovins[Specificite],MATCH(ChoixRationBovins&amp;$BB213,Règles_bovins[Ration]&amp;Règles_bovins[Aliment],0))="c"),
INDEX(Règles_bovins[Valeur 0-3],MATCH(ChoixRationBovins&amp;$BB213,Règles_bovins[Ration]&amp;Règles_bovins[Aliment],0)),0),0)*IF(ChoixBovinsPréHiver=OUI,TotalVeauMâle_0_3_RacesLaitières,TotalBovinsMâles_0_3mois*NbreJoursNourrirBovins))</f>
        <v>0</v>
      </c>
      <c r="BJ213" s="334">
        <f t="shared" si="13"/>
        <v>0</v>
      </c>
      <c r="BK213" s="276"/>
      <c r="BL213" s="276"/>
      <c r="BX213" s="332" t="str">
        <f t="shared" si="14"/>
        <v>Maïs ensilé</v>
      </c>
      <c r="BY213" s="333">
        <f t="array" ref="BY213">SUM((IF(QualitéAlimentsChevreau_0_3_mois=BONNE,VLOOKUP("Maïs ensilé",AlimentsRationCaprinsMâles,5,FALSE),0)+(IF(QualitéAlimentsChevrette_0_3_mois=BONNE,VLOOKUP("Maïs ensilé",AlimentsRationCaprinsFemelles,5,FALSE),0)+(IF(QualitéAlimentsChevreau_3_6_mois=BONNE,VLOOKUP("Maïs ensilé",AlimentsRationCaprinsMâles,4,FALSE),0)+(IF(QualitéAlimentsChevrette_3_6_mois=BONNE,VLOOKUP("Maïs ensilé",AlimentsRationCaprinsFemelles,4,FALSE),0)+(IF(QualitéAlimentsJeuneBouc=BONNE,VLOOKUP("Maïs ensilé",AlimentsRationCaprinsMâles,3,FALSE),0)+(IF(QualitéAlimentsJeuneChèvre=BONNE,VLOOKUP("Maïs ensilé",AlimentsRationCaprinsFemelles,3,FALSE),0)+(IF(QualitéAlimentsBouc=BONNE,VLOOKUP("Maïs ensilé",AlimentsRationCaprinsMâles,2,FALSE),0)+(IF(QualitéAlimentsChèvre=BONNE,VLOOKUP("Maïs ensilé",AlimentsRationCaprinsFemelles,2,FALSE),0))))))))))</f>
        <v>0</v>
      </c>
      <c r="BZ213" s="333">
        <f t="array" ref="BZ213">SUM((IF(QualitéAlimentsChevreau_0_3_mois=MOYENNE,VLOOKUP("Maïs ensilé",AlimentsRationCaprinsMâles,5,FALSE),0)+(IF(QualitéAlimentsChevrette_0_3_mois=MOYENNE,VLOOKUP("Maïs ensilé",AlimentsRationCaprinsFemelles,5,FALSE),0)+(IF(QualitéAlimentsChevreau_3_6_mois=MOYENNE,VLOOKUP("Maïs ensilé",AlimentsRationCaprinsMâles,4,FALSE),0)+(IF(QualitéAlimentsChevrette_3_6_mois=MOYENNE,VLOOKUP("Maïs ensilé",AlimentsRationCaprinsFemelles,4,FALSE),0)+(IF(QualitéAlimentsJeuneBouc=MOYENNE,VLOOKUP("Maïs ensilé",AlimentsRationCaprinsMâles,3,FALSE),0)+(IF(QualitéAlimentsJeuneChèvre=MOYENNE,VLOOKUP("Maïs ensilé",AlimentsRationCaprinsFemelles,3,FALSE),0)+(IF(QualitéAlimentsBouc=MOYENNE,VLOOKUP("Maïs ensilé",AlimentsRationCaprinsMâles,2,FALSE),0)+(IF(QualitéAlimentsChèvre=MOYENNE,VLOOKUP("Maïs ensilé",AlimentsRationCaprinsFemelles,2,FALSE),0))))))))))</f>
        <v>0</v>
      </c>
      <c r="CA213" s="333">
        <f t="array" ref="CA213">SUM((IF(QualitéAlimentsChevreau_0_3_mois=MAUVAISE,VLOOKUP("Maïs ensilé",AlimentsRationCaprinsMâles,5,FALSE),0)+(IF(QualitéAlimentsChevrette_0_3_mois=MAUVAISE,VLOOKUP("Maïs ensilé",AlimentsRationCaprinsFemelles,5,FALSE),0)+(IF(QualitéAlimentsChevreau_3_6_mois=MAUVAISE,VLOOKUP("Maïs ensilé",AlimentsRationCaprinsMâles,4,FALSE),0)+(IF(QualitéAlimentsChevrette_3_6_mois=MAUVAISE,VLOOKUP("Maïs ensilé",AlimentsRationCaprinsFemelles,4,FALSE),0)+(IF(QualitéAlimentsJeuneBouc=MAUVAISE,VLOOKUP("Maïs ensilé",AlimentsRationCaprinsMâles,3,FALSE),0)+(IF(QualitéAlimentsJeuneChèvre=MAUVAISE,VLOOKUP("Maïs ensilé",AlimentsRationCaprinsFemelles,3,FALSE),0)+(IF(QualitéAlimentsBouc=MAUVAISE,VLOOKUP("Maïs ensilé",AlimentsRationCaprinsMâles,2,FALSE),0)+(IF(QualitéAlimentsChèvre=MAUVAISE,VLOOKUP("Maïs ensilé",AlimentsRationCaprinsFemelles,2,FALSE),0))))))))))</f>
        <v>0</v>
      </c>
      <c r="CB213" s="277"/>
      <c r="CC213" s="277"/>
      <c r="CD213" s="295"/>
      <c r="CE213" s="295"/>
      <c r="CF213" s="295"/>
      <c r="CG213" s="295"/>
      <c r="CH213" s="295"/>
    </row>
    <row r="214" spans="1:86" ht="12.75" customHeight="1" x14ac:dyDescent="0.2">
      <c r="A214" s="276"/>
      <c r="B214" s="276"/>
      <c r="BB214" s="332" t="s">
        <v>383</v>
      </c>
      <c r="BC214" s="333">
        <f t="array" ref="BC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36 et plus],MATCH(ChoixRationBovins&amp;$BB214,Règles_bovins[Ration]&amp;Règles_bovins[Aliment],0)),0),0)*IF(ChoixBovinsPréHiver=OUI,TotalTaureauxRacesLaitières,TotalTaureaux*NbreJoursNourrirBovins))</f>
        <v>0</v>
      </c>
      <c r="BD214" s="333">
        <f t="array" ref="BD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24-36],MATCH(ChoixRationBovins&amp;$BB214,Règles_bovins[Ration]&amp;Règles_bovins[Aliment],0)),0),0)*IF(ChoixBovinsPréHiver=OUI,TotalTaurillon_24_36_RacesLaitières,TotalBovinsMâles_24_36mois*NbreJoursNourrirBovins))</f>
        <v>0</v>
      </c>
      <c r="BE214" s="333">
        <f t="array" ref="BE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18-24],MATCH(ChoixRationBovins&amp;$BB214,Règles_bovins[Ration]&amp;Règles_bovins[Aliment],0)),0),0)*IF(ChoixBovinsPréHiver=OUI,TotalTaurillon_18_24_RacesLaitières,TotalBovinsMâles_18_24mois*NbreJoursNourrirBovins))</f>
        <v>0</v>
      </c>
      <c r="BF214" s="333">
        <f t="array" ref="BF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12-18],MATCH(ChoixRationBovins&amp;$BB214,Règles_bovins[Ration]&amp;Règles_bovins[Aliment],0)),0),0)*IF(ChoixBovinsPréHiver=OUI,animaux!D37,TotalBovinsMâles_12_18mois*NbreJoursNourrirBovins))</f>
        <v>0</v>
      </c>
      <c r="BG214" s="333">
        <f t="array" ref="BG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6-12],MATCH(ChoixRationBovins&amp;$BB214,Règles_bovins[Ration]&amp;Règles_bovins[Aliment],0)),0),0)*IF(ChoixBovinsPréHiver=OUI,TotalVeauMâle_6_12_RacesLaitières,TotalBovinsMâles_6_12mois*NbreJoursNourrirBovins))</f>
        <v>0</v>
      </c>
      <c r="BH214" s="333">
        <f t="array" ref="BH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3-6],MATCH(ChoixRationBovins&amp;$BB214,Règles_bovins[Ration]&amp;Règles_bovins[Aliment],0)),0),0)*IF(ChoixBovinsPréHiver=OUI,TotalVeauMâle_3_6_RacesLaitières,TotalBovinsMâles_3_6mois*NbreJoursNourrirBovins))</f>
        <v>0</v>
      </c>
      <c r="BI214" s="333">
        <f t="array" ref="BI214">IF(Ration_complète_bovins[somme]&gt;0,0,IFERROR(IF(OR(AND(INDEX(Règles_bovins[Specificite],MATCH(ChoixRationBovins&amp;$BB214,Règles_bovins[Ration]&amp;Règles_bovins[Aliment],0))="s1",IF($BB214=Spécificité1Bovins,1)),
AND(INDEX(Règles_bovins[Specificite],MATCH(ChoixRationBovins&amp;$BB214,Règles_bovins[Ration]&amp;Règles_bovins[Aliment],0))="s2",IF($BB214=Spécificité2Bovins,1)),
INDEX(Règles_bovins[Specificite],MATCH(ChoixRationBovins&amp;$BB214,Règles_bovins[Ration]&amp;Règles_bovins[Aliment],0))="c"),
INDEX(Règles_bovins[Valeur 0-3],MATCH(ChoixRationBovins&amp;$BB214,Règles_bovins[Ration]&amp;Règles_bovins[Aliment],0)),0),0)*IF(ChoixBovinsPréHiver=OUI,TotalVeauMâle_0_3_RacesLaitières,TotalBovinsMâles_0_3mois*NbreJoursNourrirBovins))</f>
        <v>0</v>
      </c>
      <c r="BJ214" s="334">
        <f t="shared" si="13"/>
        <v>0</v>
      </c>
      <c r="BK214" s="276"/>
      <c r="BL214" s="276"/>
      <c r="BX214" s="332" t="str">
        <f t="shared" si="14"/>
        <v>Maïs grain</v>
      </c>
      <c r="BY214" s="333">
        <f t="array" ref="BY214">SUM((IF(QualitéAlimentsChevreau_0_3_mois=BONNE,VLOOKUP("Maïs grain",AlimentsRationCaprinsMâles,5,FALSE),0)+(IF(QualitéAlimentsChevrette_0_3_mois=BONNE,VLOOKUP("Maïs grain",AlimentsRationCaprinsFemelles,5,FALSE),0)+(IF(QualitéAlimentsChevreau_3_6_mois=BONNE,VLOOKUP("Maïs grain",AlimentsRationCaprinsMâles,4,FALSE),0)+(IF(QualitéAlimentsChevrette_3_6_mois=BONNE,VLOOKUP("Maïs grain",AlimentsRationCaprinsFemelles,4,FALSE),0)+(IF(QualitéAlimentsJeuneBouc=BONNE,VLOOKUP("Maïs grain",AlimentsRationCaprinsMâles,3,FALSE),0)+(IF(QualitéAlimentsJeuneChèvre=BONNE,VLOOKUP("Maïs grain",AlimentsRationCaprinsFemelles,3,FALSE),0)+(IF(QualitéAlimentsBouc=BONNE,VLOOKUP("Maïs grain",AlimentsRationCaprinsMâles,2,FALSE),0)+(IF(QualitéAlimentsChèvre=BONNE,VLOOKUP("Maïs grain",AlimentsRationCaprinsFemelles,2,FALSE),0))))))))))</f>
        <v>0</v>
      </c>
      <c r="BZ214" s="333">
        <f t="array" ref="BZ214">SUM((IF(QualitéAlimentsChevreau_0_3_mois=MOYENNE,VLOOKUP("Maïs grain",AlimentsRationCaprinsMâles,5,FALSE),0)+(IF(QualitéAlimentsChevrette_0_3_mois=MOYENNE,VLOOKUP("Maïs grain",AlimentsRationCaprinsFemelles,5,FALSE),0)+(IF(QualitéAlimentsChevreau_3_6_mois=MOYENNE,VLOOKUP("Maïs grain",AlimentsRationCaprinsMâles,4,FALSE),0)+(IF(QualitéAlimentsChevrette_3_6_mois=MOYENNE,VLOOKUP("Maïs grain",AlimentsRationCaprinsFemelles,4,FALSE),0)+(IF(QualitéAlimentsJeuneBouc=MOYENNE,VLOOKUP("Maïs grain",AlimentsRationCaprinsMâles,3,FALSE),0)+(IF(QualitéAlimentsJeuneChèvre=MOYENNE,VLOOKUP("Maïs grain",AlimentsRationCaprinsFemelles,3,FALSE),0)+(IF(QualitéAlimentsBouc=MOYENNE,VLOOKUP("Maïs grain",AlimentsRationCaprinsMâles,2,FALSE),0)+(IF(QualitéAlimentsChèvre=MOYENNE,VLOOKUP("Maïs grain",AlimentsRationCaprinsFemelles,2,FALSE),0))))))))))</f>
        <v>0</v>
      </c>
      <c r="CA214" s="333">
        <f t="array" ref="CA214">SUM((IF(QualitéAlimentsChevreau_0_3_mois=MAUVAISE,VLOOKUP("Maïs grain",AlimentsRationCaprinsMâles,5,FALSE),0)+(IF(QualitéAlimentsChevrette_0_3_mois=MAUVAISE,VLOOKUP("Maïs grain",AlimentsRationCaprinsFemelles,5,FALSE),0)+(IF(QualitéAlimentsChevreau_3_6_mois=MAUVAISE,VLOOKUP("Maïs grain",AlimentsRationCaprinsMâles,4,FALSE),0)+(IF(QualitéAlimentsChevrette_3_6_mois=MAUVAISE,VLOOKUP("Maïs grain",AlimentsRationCaprinsFemelles,4,FALSE),0)+(IF(QualitéAlimentsJeuneBouc=MAUVAISE,VLOOKUP("Maïs grain",AlimentsRationCaprinsMâles,3,FALSE),0)+(IF(QualitéAlimentsJeuneChèvre=MAUVAISE,VLOOKUP("Maïs grain",AlimentsRationCaprinsFemelles,3,FALSE),0)+(IF(QualitéAlimentsBouc=MAUVAISE,VLOOKUP("Maïs grain",AlimentsRationCaprinsMâles,2,FALSE),0)+(IF(QualitéAlimentsChèvre=MAUVAISE,VLOOKUP("Maïs grain",AlimentsRationCaprinsFemelles,2,FALSE),0))))))))))</f>
        <v>0</v>
      </c>
      <c r="CB214" s="277"/>
      <c r="CC214" s="277"/>
      <c r="CD214" s="295"/>
      <c r="CE214" s="295"/>
      <c r="CF214" s="295"/>
      <c r="CG214" s="295"/>
      <c r="CH214" s="295"/>
    </row>
    <row r="215" spans="1:86" ht="12.75" customHeight="1" x14ac:dyDescent="0.2">
      <c r="A215" s="276"/>
      <c r="B215" s="276"/>
      <c r="BB215" s="332" t="s">
        <v>436</v>
      </c>
      <c r="BC215" s="333">
        <f t="array" ref="BC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36 et plus],MATCH(ChoixRationBovins&amp;$BB215,Règles_bovins[Ration]&amp;Règles_bovins[Aliment],0)),0),0)*IF(ChoixBovinsPréHiver=OUI,TotalTaureauxRacesLaitières,TotalTaureaux*NbreJoursNourrirBovins))</f>
        <v>0</v>
      </c>
      <c r="BD215" s="333">
        <f t="array" ref="BD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24-36],MATCH(ChoixRationBovins&amp;$BB215,Règles_bovins[Ration]&amp;Règles_bovins[Aliment],0)),0),0)*IF(ChoixBovinsPréHiver=OUI,TotalTaurillon_24_36_RacesLaitières,TotalBovinsMâles_24_36mois*NbreJoursNourrirBovins))</f>
        <v>0</v>
      </c>
      <c r="BE215" s="333">
        <f t="array" ref="BE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18-24],MATCH(ChoixRationBovins&amp;$BB215,Règles_bovins[Ration]&amp;Règles_bovins[Aliment],0)),0),0)*IF(ChoixBovinsPréHiver=OUI,TotalTaurillon_18_24_RacesLaitières,TotalBovinsMâles_18_24mois*NbreJoursNourrirBovins))</f>
        <v>0</v>
      </c>
      <c r="BF215" s="333">
        <f t="array" ref="BF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12-18],MATCH(ChoixRationBovins&amp;$BB215,Règles_bovins[Ration]&amp;Règles_bovins[Aliment],0)),0),0)*IF(ChoixBovinsPréHiver=OUI,animaux!D38,TotalBovinsMâles_12_18mois*NbreJoursNourrirBovins))</f>
        <v>0</v>
      </c>
      <c r="BG215" s="333">
        <f t="array" ref="BG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6-12],MATCH(ChoixRationBovins&amp;$BB215,Règles_bovins[Ration]&amp;Règles_bovins[Aliment],0)),0),0)*IF(ChoixBovinsPréHiver=OUI,TotalVeauMâle_6_12_RacesLaitières,TotalBovinsMâles_6_12mois*NbreJoursNourrirBovins))</f>
        <v>0</v>
      </c>
      <c r="BH215" s="333">
        <f t="array" ref="BH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3-6],MATCH(ChoixRationBovins&amp;$BB215,Règles_bovins[Ration]&amp;Règles_bovins[Aliment],0)),0),0)*IF(ChoixBovinsPréHiver=OUI,TotalVeauMâle_3_6_RacesLaitières,TotalBovinsMâles_3_6mois*NbreJoursNourrirBovins))</f>
        <v>0</v>
      </c>
      <c r="BI215" s="333">
        <f t="array" ref="BI215">IF(Ration_complète_bovins[somme]&gt;0,0,IFERROR(IF(OR(AND(INDEX(Règles_bovins[Specificite],MATCH(ChoixRationBovins&amp;$BB215,Règles_bovins[Ration]&amp;Règles_bovins[Aliment],0))="s1",IF($BB215=Spécificité1Bovins,1)),
AND(INDEX(Règles_bovins[Specificite],MATCH(ChoixRationBovins&amp;$BB215,Règles_bovins[Ration]&amp;Règles_bovins[Aliment],0))="s2",IF($BB215=Spécificité2Bovins,1)),
INDEX(Règles_bovins[Specificite],MATCH(ChoixRationBovins&amp;$BB215,Règles_bovins[Ration]&amp;Règles_bovins[Aliment],0))="c"),
INDEX(Règles_bovins[Valeur 0-3],MATCH(ChoixRationBovins&amp;$BB215,Règles_bovins[Ration]&amp;Règles_bovins[Aliment],0)),0),0)*IF(ChoixBovinsPréHiver=OUI,TotalVeauMâle_0_3_RacesLaitières,TotalBovinsMâles_0_3mois*NbreJoursNourrirBovins))</f>
        <v>0</v>
      </c>
      <c r="BJ215" s="334">
        <f t="shared" si="13"/>
        <v>0</v>
      </c>
      <c r="BK215" s="276"/>
      <c r="BL215" s="276"/>
      <c r="BX215" s="332" t="str">
        <f t="shared" si="14"/>
        <v>Minéraux + vitamines</v>
      </c>
      <c r="BY215" s="333">
        <f t="array" ref="BY215">SUM((IF(QualitéAlimentsChevreau_0_3_mois=BONNE,VLOOKUP("Minéraux + vitamines",AlimentsRationCaprinsMâles,5,FALSE),0)+(IF(QualitéAlimentsChevrette_0_3_mois=BONNE,VLOOKUP("Minéraux + vitamines",AlimentsRationCaprinsFemelles,5,FALSE),0)+(IF(QualitéAlimentsChevreau_3_6_mois=BONNE,VLOOKUP("Minéraux + vitamines",AlimentsRationCaprinsMâles,4,FALSE),0)+(IF(QualitéAlimentsChevrette_3_6_mois=BONNE,VLOOKUP("Minéraux + vitamines",AlimentsRationCaprinsFemelles,4,FALSE),0)+(IF(QualitéAlimentsJeuneBouc=BONNE,VLOOKUP("Minéraux + vitamines",AlimentsRationCaprinsMâles,3,FALSE),0)+(IF(QualitéAlimentsJeuneChèvre=BONNE,VLOOKUP("Minéraux + vitamines",AlimentsRationCaprinsFemelles,3,FALSE),0)+(IF(QualitéAlimentsBouc=BONNE,VLOOKUP("Minéraux + vitamines",AlimentsRationCaprinsMâles,2,FALSE),0)+(IF(QualitéAlimentsChèvre=BONNE,VLOOKUP("Minéraux + vitamines",AlimentsRationCaprinsFemelles,2,FALSE),0))))))))))</f>
        <v>0</v>
      </c>
      <c r="BZ215" s="333">
        <f t="array" ref="BZ215">SUM((IF(QualitéAlimentsChevreau_0_3_mois=MOYENNE,VLOOKUP("Minéraux + vitamines",AlimentsRationCaprinsMâles,5,FALSE),0)+(IF(QualitéAlimentsChevrette_0_3_mois=MOYENNE,VLOOKUP("Minéraux + vitamines",AlimentsRationCaprinsFemelles,5,FALSE),0)+(IF(QualitéAlimentsChevreau_3_6_mois=MOYENNE,VLOOKUP("Minéraux + vitamines",AlimentsRationCaprinsMâles,4,FALSE),0)+(IF(QualitéAlimentsChevrette_3_6_mois=MOYENNE,VLOOKUP("Minéraux + vitamines",AlimentsRationCaprinsFemelles,4,FALSE),0)+(IF(QualitéAlimentsJeuneBouc=MOYENNE,VLOOKUP("Minéraux + vitamines",AlimentsRationCaprinsMâles,3,FALSE),0)+(IF(QualitéAlimentsJeuneChèvre=MOYENNE,VLOOKUP("Minéraux + vitamines",AlimentsRationCaprinsFemelles,3,FALSE),0)+(IF(QualitéAlimentsBouc=MOYENNE,VLOOKUP("Minéraux + vitamines",AlimentsRationCaprinsMâles,2,FALSE),0)+(IF(QualitéAlimentsChèvre=MOYENNE,VLOOKUP("Minéraux + vitamines",AlimentsRationCaprinsFemelles,2,FALSE),0))))))))))</f>
        <v>0</v>
      </c>
      <c r="CA215" s="333">
        <f t="array" ref="CA215">SUM((IF(QualitéAlimentsChevreau_0_3_mois=MAUVAISE,VLOOKUP("Minéraux + vitamines",AlimentsRationCaprinsMâles,5,FALSE),0)+(IF(QualitéAlimentsChevrette_0_3_mois=MAUVAISE,VLOOKUP("Minéraux + vitamines",AlimentsRationCaprinsFemelles,5,FALSE),0)+(IF(QualitéAlimentsChevreau_3_6_mois=MAUVAISE,VLOOKUP("Minéraux + vitamines",AlimentsRationCaprinsMâles,4,FALSE),0)+(IF(QualitéAlimentsChevrette_3_6_mois=MAUVAISE,VLOOKUP("Minéraux + vitamines",AlimentsRationCaprinsFemelles,4,FALSE),0)+(IF(QualitéAlimentsJeuneBouc=MAUVAISE,VLOOKUP("Minéraux + vitamines",AlimentsRationCaprinsMâles,3,FALSE),0)+(IF(QualitéAlimentsJeuneChèvre=MAUVAISE,VLOOKUP("Minéraux + vitamines",AlimentsRationCaprinsFemelles,3,FALSE),0)+(IF(QualitéAlimentsBouc=MAUVAISE,VLOOKUP("Minéraux + vitamines",AlimentsRationCaprinsMâles,2,FALSE),0)+(IF(QualitéAlimentsChèvre=MAUVAISE,VLOOKUP("Minéraux + vitamines",AlimentsRationCaprinsFemelles,2,FALSE),0))))))))))</f>
        <v>0</v>
      </c>
      <c r="CB215" s="277"/>
      <c r="CC215" s="277"/>
      <c r="CD215" s="295"/>
      <c r="CE215" s="295"/>
      <c r="CF215" s="295"/>
      <c r="CG215" s="295"/>
      <c r="CH215" s="295"/>
    </row>
    <row r="216" spans="1:86" ht="12.75" customHeight="1" x14ac:dyDescent="0.2">
      <c r="A216" s="276"/>
      <c r="B216" s="276"/>
      <c r="BB216" s="332" t="s">
        <v>169</v>
      </c>
      <c r="BC216" s="333">
        <f t="array" ref="BC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36 et plus],MATCH(ChoixRationBovins&amp;$BB216,Règles_bovins[Ration]&amp;Règles_bovins[Aliment],0)),0),0)*IF(ChoixBovinsPréHiver=OUI,TotalTaureauxRacesLaitières,TotalTaureaux*NbreJoursNourrirBovins))</f>
        <v>0</v>
      </c>
      <c r="BD216" s="333">
        <f t="array" ref="BD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24-36],MATCH(ChoixRationBovins&amp;$BB216,Règles_bovins[Ration]&amp;Règles_bovins[Aliment],0)),0),0)*IF(ChoixBovinsPréHiver=OUI,TotalTaurillon_24_36_RacesLaitières,TotalBovinsMâles_24_36mois*NbreJoursNourrirBovins))</f>
        <v>0</v>
      </c>
      <c r="BE216" s="333">
        <f t="array" ref="BE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18-24],MATCH(ChoixRationBovins&amp;$BB216,Règles_bovins[Ration]&amp;Règles_bovins[Aliment],0)),0),0)*IF(ChoixBovinsPréHiver=OUI,TotalTaurillon_18_24_RacesLaitières,TotalBovinsMâles_18_24mois*NbreJoursNourrirBovins))</f>
        <v>0</v>
      </c>
      <c r="BF216" s="333">
        <f t="array" ref="BF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12-18],MATCH(ChoixRationBovins&amp;$BB216,Règles_bovins[Ration]&amp;Règles_bovins[Aliment],0)),0),0)*IF(ChoixBovinsPréHiver=OUI,animaux!D39,TotalBovinsMâles_12_18mois*NbreJoursNourrirBovins))</f>
        <v>0</v>
      </c>
      <c r="BG216" s="333">
        <f t="array" ref="BG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6-12],MATCH(ChoixRationBovins&amp;$BB216,Règles_bovins[Ration]&amp;Règles_bovins[Aliment],0)),0),0)*IF(ChoixBovinsPréHiver=OUI,TotalVeauMâle_6_12_RacesLaitières,TotalBovinsMâles_6_12mois*NbreJoursNourrirBovins))</f>
        <v>0</v>
      </c>
      <c r="BH216" s="333">
        <f t="array" ref="BH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3-6],MATCH(ChoixRationBovins&amp;$BB216,Règles_bovins[Ration]&amp;Règles_bovins[Aliment],0)),0),0)*IF(ChoixBovinsPréHiver=OUI,TotalVeauMâle_3_6_RacesLaitières,TotalBovinsMâles_3_6mois*NbreJoursNourrirBovins))</f>
        <v>0</v>
      </c>
      <c r="BI216" s="333">
        <f t="array" ref="BI216">IF(Ration_complète_bovins[somme]&gt;0,0,IFERROR(IF(OR(AND(INDEX(Règles_bovins[Specificite],MATCH(ChoixRationBovins&amp;$BB216,Règles_bovins[Ration]&amp;Règles_bovins[Aliment],0))="s1",IF($BB216=Spécificité1Bovins,1)),
AND(INDEX(Règles_bovins[Specificite],MATCH(ChoixRationBovins&amp;$BB216,Règles_bovins[Ration]&amp;Règles_bovins[Aliment],0))="s2",IF($BB216=Spécificité2Bovins,1)),
INDEX(Règles_bovins[Specificite],MATCH(ChoixRationBovins&amp;$BB216,Règles_bovins[Ration]&amp;Règles_bovins[Aliment],0))="c"),
INDEX(Règles_bovins[Valeur 0-3],MATCH(ChoixRationBovins&amp;$BB216,Règles_bovins[Ration]&amp;Règles_bovins[Aliment],0)),0),0)*IF(ChoixBovinsPréHiver=OUI,TotalVeauMâle_0_3_RacesLaitières,TotalBovinsMâles_0_3mois*NbreJoursNourrirBovins))</f>
        <v>0</v>
      </c>
      <c r="BJ216" s="334">
        <f t="shared" si="13"/>
        <v>0</v>
      </c>
      <c r="BK216" s="276"/>
      <c r="BL216" s="276"/>
      <c r="BX216" s="332" t="str">
        <f t="shared" si="14"/>
        <v>Orge</v>
      </c>
      <c r="BY216" s="333">
        <f t="array" ref="BY216">SUM((IF(QualitéAlimentsChevreau_0_3_mois=BONNE,VLOOKUP("Orge",AlimentsRationCaprinsMâles,5,FALSE),0)+(IF(QualitéAlimentsChevrette_0_3_mois=BONNE,VLOOKUP("Orge",AlimentsRationCaprinsFemelles,5,FALSE),0)+(IF(QualitéAlimentsChevreau_3_6_mois=BONNE,VLOOKUP("Orge",AlimentsRationCaprinsMâles,4,FALSE),0)+(IF(QualitéAlimentsChevrette_3_6_mois=BONNE,VLOOKUP("Orge",AlimentsRationCaprinsFemelles,4,FALSE),0)+(IF(QualitéAlimentsJeuneBouc=BONNE,VLOOKUP("Orge",AlimentsRationCaprinsMâles,3,FALSE),0)+(IF(QualitéAlimentsJeuneChèvre=BONNE,VLOOKUP("Orge",AlimentsRationCaprinsFemelles,3,FALSE),0)+(IF(QualitéAlimentsBouc=BONNE,VLOOKUP("Orge",AlimentsRationCaprinsMâles,2,FALSE),0)+(IF(QualitéAlimentsChèvre=BONNE,VLOOKUP("Orge",AlimentsRationCaprinsFemelles,2,FALSE),0))))))))))</f>
        <v>0</v>
      </c>
      <c r="BZ216" s="333">
        <f t="array" ref="BZ216">SUM((IF(QualitéAlimentsChevreau_0_3_mois=MOYENNE,VLOOKUP("Orge",AlimentsRationCaprinsMâles,5,FALSE),0)+(IF(QualitéAlimentsChevrette_0_3_mois=MOYENNE,VLOOKUP("Orge",AlimentsRationCaprinsFemelles,5,FALSE),0)+(IF(QualitéAlimentsChevreau_3_6_mois=MOYENNE,VLOOKUP("Orge",AlimentsRationCaprinsMâles,4,FALSE),0)+(IF(QualitéAlimentsChevrette_3_6_mois=MOYENNE,VLOOKUP("Orge",AlimentsRationCaprinsFemelles,4,FALSE),0)+(IF(QualitéAlimentsJeuneBouc=MOYENNE,VLOOKUP("Orge",AlimentsRationCaprinsMâles,3,FALSE),0)+(IF(QualitéAlimentsJeuneChèvre=MOYENNE,VLOOKUP("Orge",AlimentsRationCaprinsFemelles,3,FALSE),0)+(IF(QualitéAlimentsBouc=MOYENNE,VLOOKUP("Orge",AlimentsRationCaprinsMâles,2,FALSE),0)+(IF(QualitéAlimentsChèvre=MOYENNE,VLOOKUP("Orge",AlimentsRationCaprinsFemelles,2,FALSE),0))))))))))</f>
        <v>0</v>
      </c>
      <c r="CA216" s="333">
        <f t="array" ref="CA216">SUM((IF(QualitéAlimentsChevreau_0_3_mois=MAUVAISE,VLOOKUP("Orge",AlimentsRationCaprinsMâles,5,FALSE),0)+(IF(QualitéAlimentsChevrette_0_3_mois=MAUVAISE,VLOOKUP("Orge",AlimentsRationCaprinsFemelles,5,FALSE),0)+(IF(QualitéAlimentsChevreau_3_6_mois=MAUVAISE,VLOOKUP("Orge",AlimentsRationCaprinsMâles,4,FALSE),0)+(IF(QualitéAlimentsChevrette_3_6_mois=MAUVAISE,VLOOKUP("Orge",AlimentsRationCaprinsFemelles,4,FALSE),0)+(IF(QualitéAlimentsJeuneBouc=MAUVAISE,VLOOKUP("Orge",AlimentsRationCaprinsMâles,3,FALSE),0)+(IF(QualitéAlimentsJeuneChèvre=MAUVAISE,VLOOKUP("Orge",AlimentsRationCaprinsFemelles,3,FALSE),0)+(IF(QualitéAlimentsBouc=MAUVAISE,VLOOKUP("Orge",AlimentsRationCaprinsMâles,2,FALSE),0)+(IF(QualitéAlimentsChèvre=MAUVAISE,VLOOKUP("Orge",AlimentsRationCaprinsFemelles,2,FALSE),0))))))))))</f>
        <v>0</v>
      </c>
      <c r="CB216" s="277"/>
      <c r="CC216" s="277"/>
      <c r="CD216" s="295"/>
      <c r="CE216" s="295"/>
      <c r="CF216" s="295"/>
      <c r="CG216" s="295"/>
      <c r="CH216" s="295"/>
    </row>
    <row r="217" spans="1:86" ht="12.75" customHeight="1" x14ac:dyDescent="0.2">
      <c r="A217" s="276"/>
      <c r="B217" s="276"/>
      <c r="BB217" s="332" t="s">
        <v>44</v>
      </c>
      <c r="BC217" s="333">
        <f t="array" ref="BC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36 et plus],MATCH(ChoixRationBovins&amp;$BB217,Règles_bovins[Ration]&amp;Règles_bovins[Aliment],0)),0),0)*IF(ChoixBovinsPréHiver=OUI,TotalTaureauxRacesLaitières,TotalTaureaux*NbreJoursNourrirBovins))</f>
        <v>0</v>
      </c>
      <c r="BD217" s="333">
        <f t="array" ref="BD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24-36],MATCH(ChoixRationBovins&amp;$BB217,Règles_bovins[Ration]&amp;Règles_bovins[Aliment],0)),0),0)*IF(ChoixBovinsPréHiver=OUI,TotalTaurillon_24_36_RacesLaitières,TotalBovinsMâles_24_36mois*NbreJoursNourrirBovins))</f>
        <v>0</v>
      </c>
      <c r="BE217" s="333">
        <f t="array" ref="BE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18-24],MATCH(ChoixRationBovins&amp;$BB217,Règles_bovins[Ration]&amp;Règles_bovins[Aliment],0)),0),0)*IF(ChoixBovinsPréHiver=OUI,TotalTaurillon_18_24_RacesLaitières,TotalBovinsMâles_18_24mois*NbreJoursNourrirBovins))</f>
        <v>0</v>
      </c>
      <c r="BF217" s="333">
        <f t="array" ref="BF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12-18],MATCH(ChoixRationBovins&amp;$BB217,Règles_bovins[Ration]&amp;Règles_bovins[Aliment],0)),0),0)*IF(ChoixBovinsPréHiver=OUI,animaux!D40,TotalBovinsMâles_12_18mois*NbreJoursNourrirBovins))</f>
        <v>0</v>
      </c>
      <c r="BG217" s="333">
        <f t="array" ref="BG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6-12],MATCH(ChoixRationBovins&amp;$BB217,Règles_bovins[Ration]&amp;Règles_bovins[Aliment],0)),0),0)*IF(ChoixBovinsPréHiver=OUI,TotalVeauMâle_6_12_RacesLaitières,TotalBovinsMâles_6_12mois*NbreJoursNourrirBovins))</f>
        <v>0</v>
      </c>
      <c r="BH217" s="333">
        <f t="array" ref="BH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3-6],MATCH(ChoixRationBovins&amp;$BB217,Règles_bovins[Ration]&amp;Règles_bovins[Aliment],0)),0),0)*IF(ChoixBovinsPréHiver=OUI,TotalVeauMâle_3_6_RacesLaitières,TotalBovinsMâles_3_6mois*NbreJoursNourrirBovins))</f>
        <v>0</v>
      </c>
      <c r="BI217" s="333">
        <f t="array" ref="BI217">IF(Ration_complète_bovins[somme]&gt;0,0,IFERROR(IF(OR(AND(INDEX(Règles_bovins[Specificite],MATCH(ChoixRationBovins&amp;$BB217,Règles_bovins[Ration]&amp;Règles_bovins[Aliment],0))="s1",IF($BB217=Spécificité1Bovins,1)),
AND(INDEX(Règles_bovins[Specificite],MATCH(ChoixRationBovins&amp;$BB217,Règles_bovins[Ration]&amp;Règles_bovins[Aliment],0))="s2",IF($BB217=Spécificité2Bovins,1)),
INDEX(Règles_bovins[Specificite],MATCH(ChoixRationBovins&amp;$BB217,Règles_bovins[Ration]&amp;Règles_bovins[Aliment],0))="c"),
INDEX(Règles_bovins[Valeur 0-3],MATCH(ChoixRationBovins&amp;$BB217,Règles_bovins[Ration]&amp;Règles_bovins[Aliment],0)),0),0)*IF(ChoixBovinsPréHiver=OUI,TotalVeauMâle_0_3_RacesLaitières,TotalBovinsMâles_0_3mois*NbreJoursNourrirBovins))</f>
        <v>0</v>
      </c>
      <c r="BJ217" s="334">
        <f t="shared" si="13"/>
        <v>0</v>
      </c>
      <c r="BK217" s="276"/>
      <c r="BL217" s="276"/>
      <c r="BX217" s="332" t="str">
        <f t="shared" si="14"/>
        <v>Paille</v>
      </c>
      <c r="BY217" s="333">
        <f t="array" ref="BY217">SUM((IF(QualitéAlimentsChevreau_0_3_mois=BONNE,VLOOKUP("Paille",AlimentsRationCaprinsMâles,5,FALSE),0)+(IF(QualitéAlimentsChevrette_0_3_mois=BONNE,VLOOKUP("Paille",AlimentsRationCaprinsFemelles,5,FALSE),0)+(IF(QualitéAlimentsChevreau_3_6_mois=BONNE,VLOOKUP("Paille",AlimentsRationCaprinsMâles,4,FALSE),0)+(IF(QualitéAlimentsChevrette_3_6_mois=BONNE,VLOOKUP("Paille",AlimentsRationCaprinsFemelles,4,FALSE),0)+(IF(QualitéAlimentsJeuneBouc=BONNE,VLOOKUP("Paille",AlimentsRationCaprinsMâles,3,FALSE),0)+(IF(QualitéAlimentsJeuneChèvre=BONNE,VLOOKUP("Paille",AlimentsRationCaprinsFemelles,3,FALSE),0)+(IF(QualitéAlimentsBouc=BONNE,VLOOKUP("Paille",AlimentsRationCaprinsMâles,2,FALSE),0)+(IF(QualitéAlimentsChèvre=BONNE,VLOOKUP("Paille",AlimentsRationCaprinsFemelles,2,FALSE),0))))))))))</f>
        <v>0</v>
      </c>
      <c r="BZ217" s="333">
        <f t="array" ref="BZ217">SUM((IF(QualitéAlimentsChevreau_0_3_mois=MOYENNE,VLOOKUP("Paille",AlimentsRationCaprinsMâles,5,FALSE),0)+(IF(QualitéAlimentsChevrette_0_3_mois=MOYENNE,VLOOKUP("Paille",AlimentsRationCaprinsFemelles,5,FALSE),0)+(IF(QualitéAlimentsChevreau_3_6_mois=MOYENNE,VLOOKUP("Paille",AlimentsRationCaprinsMâles,4,FALSE),0)+(IF(QualitéAlimentsChevrette_3_6_mois=MOYENNE,VLOOKUP("Paille",AlimentsRationCaprinsFemelles,4,FALSE),0)+(IF(QualitéAlimentsJeuneBouc=MOYENNE,VLOOKUP("Paille",AlimentsRationCaprinsMâles,3,FALSE),0)+(IF(QualitéAlimentsJeuneChèvre=MOYENNE,VLOOKUP("Paille",AlimentsRationCaprinsFemelles,3,FALSE),0)+(IF(QualitéAlimentsBouc=MOYENNE,VLOOKUP("Paille",AlimentsRationCaprinsMâles,2,FALSE),0)+(IF(QualitéAlimentsChèvre=MOYENNE,VLOOKUP("Paille",AlimentsRationCaprinsFemelles,2,FALSE),0))))))))))</f>
        <v>0</v>
      </c>
      <c r="CA217" s="333">
        <f t="array" ref="CA217">SUM((IF(QualitéAlimentsChevreau_0_3_mois=MAUVAISE,VLOOKUP("Paille",AlimentsRationCaprinsMâles,5,FALSE),0)+(IF(QualitéAlimentsChevrette_0_3_mois=MAUVAISE,VLOOKUP("Paille",AlimentsRationCaprinsFemelles,5,FALSE),0)+(IF(QualitéAlimentsChevreau_3_6_mois=MAUVAISE,VLOOKUP("Paille",AlimentsRationCaprinsMâles,4,FALSE),0)+(IF(QualitéAlimentsChevrette_3_6_mois=MAUVAISE,VLOOKUP("Paille",AlimentsRationCaprinsFemelles,4,FALSE),0)+(IF(QualitéAlimentsJeuneBouc=MAUVAISE,VLOOKUP("Paille",AlimentsRationCaprinsMâles,3,FALSE),0)+(IF(QualitéAlimentsJeuneChèvre=MAUVAISE,VLOOKUP("Paille",AlimentsRationCaprinsFemelles,3,FALSE),0)+(IF(QualitéAlimentsBouc=MAUVAISE,VLOOKUP("Paille",AlimentsRationCaprinsMâles,2,FALSE),0)+(IF(QualitéAlimentsChèvre=MAUVAISE,VLOOKUP("Paille",AlimentsRationCaprinsFemelles,2,FALSE),0)+LitièreCaprins[[#Totals],[Litière]])))))))))</f>
        <v>0</v>
      </c>
      <c r="CB217" s="294"/>
      <c r="CC217" s="294"/>
      <c r="CD217" s="295"/>
      <c r="CE217" s="295"/>
      <c r="CF217" s="295"/>
      <c r="CG217" s="295"/>
      <c r="CH217" s="295"/>
    </row>
    <row r="218" spans="1:86" ht="12.75" customHeight="1" x14ac:dyDescent="0.2">
      <c r="A218" s="276"/>
      <c r="B218" s="276"/>
      <c r="BB218" s="332" t="s">
        <v>731</v>
      </c>
      <c r="BC218" s="333">
        <f t="array" ref="BC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36 et plus],MATCH(ChoixRationBovins&amp;$BB218,Règles_bovins[Ration]&amp;Règles_bovins[Aliment],0)),0),0)*IF(ChoixBovinsPréHiver=OUI,TotalTaureauxRacesLaitières,TotalTaureaux*NbreJoursNourrirBovins))</f>
        <v>0</v>
      </c>
      <c r="BD218" s="333">
        <f t="array" ref="BD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24-36],MATCH(ChoixRationBovins&amp;$BB218,Règles_bovins[Ration]&amp;Règles_bovins[Aliment],0)),0),0)*IF(ChoixBovinsPréHiver=OUI,TotalTaurillon_24_36_RacesLaitières,TotalBovinsMâles_24_36mois*NbreJoursNourrirBovins))</f>
        <v>0</v>
      </c>
      <c r="BE218" s="333">
        <f t="array" ref="BE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18-24],MATCH(ChoixRationBovins&amp;$BB218,Règles_bovins[Ration]&amp;Règles_bovins[Aliment],0)),0),0)*IF(ChoixBovinsPréHiver=OUI,TotalTaurillon_18_24_RacesLaitières,TotalBovinsMâles_18_24mois*NbreJoursNourrirBovins))</f>
        <v>0</v>
      </c>
      <c r="BF218" s="333">
        <f t="array" ref="BF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12-18],MATCH(ChoixRationBovins&amp;$BB218,Règles_bovins[Ration]&amp;Règles_bovins[Aliment],0)),0),0)*IF(ChoixBovinsPréHiver=OUI,animaux!D41,TotalBovinsMâles_12_18mois*NbreJoursNourrirBovins))</f>
        <v>0</v>
      </c>
      <c r="BG218" s="333">
        <f t="array" ref="BG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6-12],MATCH(ChoixRationBovins&amp;$BB218,Règles_bovins[Ration]&amp;Règles_bovins[Aliment],0)),0),0)*IF(ChoixBovinsPréHiver=OUI,TotalVeauMâle_6_12_RacesLaitières,TotalBovinsMâles_6_12mois*NbreJoursNourrirBovins))</f>
        <v>0</v>
      </c>
      <c r="BH218" s="333">
        <f t="array" ref="BH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3-6],MATCH(ChoixRationBovins&amp;$BB218,Règles_bovins[Ration]&amp;Règles_bovins[Aliment],0)),0),0)*IF(ChoixBovinsPréHiver=OUI,TotalVeauMâle_3_6_RacesLaitières,TotalBovinsMâles_3_6mois*NbreJoursNourrirBovins))</f>
        <v>0</v>
      </c>
      <c r="BI218" s="333">
        <f t="array" ref="BI218">IF(Ration_complète_bovins[somme]&gt;0,0,IFERROR(IF(OR(AND(INDEX(Règles_bovins[Specificite],MATCH(ChoixRationBovins&amp;$BB218,Règles_bovins[Ration]&amp;Règles_bovins[Aliment],0))="s1",IF($BB218=Spécificité1Bovins,1)),
AND(INDEX(Règles_bovins[Specificite],MATCH(ChoixRationBovins&amp;$BB218,Règles_bovins[Ration]&amp;Règles_bovins[Aliment],0))="s2",IF($BB218=Spécificité2Bovins,1)),
INDEX(Règles_bovins[Specificite],MATCH(ChoixRationBovins&amp;$BB218,Règles_bovins[Ration]&amp;Règles_bovins[Aliment],0))="c"),
INDEX(Règles_bovins[Valeur 0-3],MATCH(ChoixRationBovins&amp;$BB218,Règles_bovins[Ration]&amp;Règles_bovins[Aliment],0)),0),0)*IF(ChoixBovinsPréHiver=OUI,TotalVeauMâle_0_3_RacesLaitières,TotalBovinsMâles_0_3mois*NbreJoursNourrirBovins))</f>
        <v>0</v>
      </c>
      <c r="BJ218" s="334">
        <f t="shared" si="13"/>
        <v>0</v>
      </c>
      <c r="BK218" s="276"/>
      <c r="BL218" s="276"/>
      <c r="BX218" s="332" t="str">
        <f t="shared" si="14"/>
        <v>Pois</v>
      </c>
      <c r="BY218" s="333">
        <f t="array" ref="BY218">SUM((IF(QualitéAlimentsChevreau_0_3_mois=BONNE,VLOOKUP("Pois",AlimentsRationCaprinsMâles,5,FALSE),0)+(IF(QualitéAlimentsChevrette_0_3_mois=BONNE,VLOOKUP("Pois",AlimentsRationCaprinsFemelles,5,FALSE),0)+(IF(QualitéAlimentsChevreau_3_6_mois=BONNE,VLOOKUP("Pois",AlimentsRationCaprinsMâles,4,FALSE),0)+(IF(QualitéAlimentsChevrette_3_6_mois=BONNE,VLOOKUP("Pois",AlimentsRationCaprinsFemelles,4,FALSE),0)+(IF(QualitéAlimentsJeuneBouc=BONNE,VLOOKUP("Pois",AlimentsRationCaprinsMâles,3,FALSE),0)+(IF(QualitéAlimentsJeuneChèvre=BONNE,VLOOKUP("Pois",AlimentsRationCaprinsFemelles,3,FALSE),0)+(IF(QualitéAlimentsBouc=BONNE,VLOOKUP("Pois",AlimentsRationCaprinsMâles,2,FALSE),0)+(IF(QualitéAlimentsChèvre=BONNE,VLOOKUP("Pois",AlimentsRationCaprinsFemelles,2,FALSE),0))))))))))</f>
        <v>0</v>
      </c>
      <c r="BZ218" s="333">
        <f t="array" ref="BZ218">SUM((IF(QualitéAlimentsChevreau_0_3_mois=MOYENNE,VLOOKUP("Pois",AlimentsRationCaprinsMâles,5,FALSE),0)+(IF(QualitéAlimentsChevrette_0_3_mois=MOYENNE,VLOOKUP("Pois",AlimentsRationCaprinsFemelles,5,FALSE),0)+(IF(QualitéAlimentsChevreau_3_6_mois=MOYENNE,VLOOKUP("Pois",AlimentsRationCaprinsMâles,4,FALSE),0)+(IF(QualitéAlimentsChevrette_3_6_mois=MOYENNE,VLOOKUP("Pois",AlimentsRationCaprinsFemelles,4,FALSE),0)+(IF(QualitéAlimentsJeuneBouc=MOYENNE,VLOOKUP("Pois",AlimentsRationCaprinsMâles,3,FALSE),0)+(IF(QualitéAlimentsJeuneChèvre=MOYENNE,VLOOKUP("Pois",AlimentsRationCaprinsFemelles,3,FALSE),0)+(IF(QualitéAlimentsBouc=MOYENNE,VLOOKUP("Pois",AlimentsRationCaprinsMâles,2,FALSE),0)+(IF(QualitéAlimentsChèvre=MOYENNE,VLOOKUP("Pois",AlimentsRationCaprinsFemelles,2,FALSE),0))))))))))</f>
        <v>0</v>
      </c>
      <c r="CA218" s="333">
        <f t="array" ref="CA218">SUM((IF(QualitéAlimentsChevreau_0_3_mois=MAUVAISE,VLOOKUP("Pois",AlimentsRationCaprinsMâles,5,FALSE),0)+(IF(QualitéAlimentsChevrette_0_3_mois=MAUVAISE,VLOOKUP("Pois",AlimentsRationCaprinsFemelles,5,FALSE),0)+(IF(QualitéAlimentsChevreau_3_6_mois=MAUVAISE,VLOOKUP("Pois",AlimentsRationCaprinsMâles,4,FALSE),0)+(IF(QualitéAlimentsChevrette_3_6_mois=MAUVAISE,VLOOKUP("Pois",AlimentsRationCaprinsFemelles,4,FALSE),0)+(IF(QualitéAlimentsJeuneBouc=MAUVAISE,VLOOKUP("Pois",AlimentsRationCaprinsMâles,3,FALSE),0)+(IF(QualitéAlimentsJeuneChèvre=MAUVAISE,VLOOKUP("Pois",AlimentsRationCaprinsFemelles,3,FALSE),0)+(IF(QualitéAlimentsBouc=MAUVAISE,VLOOKUP("Pois",AlimentsRationCaprinsMâles,2,FALSE),0)+(IF(QualitéAlimentsChèvre=MAUVAISE,VLOOKUP("Pois",AlimentsRationCaprinsFemelles,2,FALSE),0))))))))))</f>
        <v>0</v>
      </c>
      <c r="CB218" s="277"/>
      <c r="CC218" s="277"/>
      <c r="CD218" s="295"/>
      <c r="CE218" s="295"/>
      <c r="CF218" s="295"/>
      <c r="CG218" s="295"/>
      <c r="CH218" s="295"/>
    </row>
    <row r="219" spans="1:86" ht="12.75" customHeight="1" x14ac:dyDescent="0.2">
      <c r="A219" s="276"/>
      <c r="B219" s="276"/>
      <c r="BB219" s="332" t="s">
        <v>434</v>
      </c>
      <c r="BC219" s="333">
        <f t="array" ref="BC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36 et plus],MATCH(ChoixRationBovins&amp;$BB219,Règles_bovins[Ration]&amp;Règles_bovins[Aliment],0)),0),0)*IF(ChoixBovinsPréHiver=OUI,TotalTaureauxRacesLaitières,TotalTaureaux*NbreJoursNourrirBovins))</f>
        <v>0</v>
      </c>
      <c r="BD219" s="333">
        <f t="array" ref="BD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24-36],MATCH(ChoixRationBovins&amp;$BB219,Règles_bovins[Ration]&amp;Règles_bovins[Aliment],0)),0),0)*IF(ChoixBovinsPréHiver=OUI,TotalTaurillon_24_36_RacesLaitières,TotalBovinsMâles_24_36mois*NbreJoursNourrirBovins))</f>
        <v>0</v>
      </c>
      <c r="BE219" s="333">
        <f t="array" ref="BE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18-24],MATCH(ChoixRationBovins&amp;$BB219,Règles_bovins[Ration]&amp;Règles_bovins[Aliment],0)),0),0)*IF(ChoixBovinsPréHiver=OUI,TotalTaurillon_18_24_RacesLaitières,TotalBovinsMâles_18_24mois*NbreJoursNourrirBovins))</f>
        <v>0</v>
      </c>
      <c r="BF219" s="333">
        <f t="array" ref="BF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12-18],MATCH(ChoixRationBovins&amp;$BB219,Règles_bovins[Ration]&amp;Règles_bovins[Aliment],0)),0),0)*IF(ChoixBovinsPréHiver=OUI,animaux!D42,TotalBovinsMâles_12_18mois*NbreJoursNourrirBovins))</f>
        <v>0</v>
      </c>
      <c r="BG219" s="333">
        <f t="array" ref="BG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6-12],MATCH(ChoixRationBovins&amp;$BB219,Règles_bovins[Ration]&amp;Règles_bovins[Aliment],0)),0),0)*IF(ChoixBovinsPréHiver=OUI,TotalVeauMâle_6_12_RacesLaitières,TotalBovinsMâles_6_12mois*NbreJoursNourrirBovins))</f>
        <v>0</v>
      </c>
      <c r="BH219" s="333">
        <f t="array" ref="BH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3-6],MATCH(ChoixRationBovins&amp;$BB219,Règles_bovins[Ration]&amp;Règles_bovins[Aliment],0)),0),0)*IF(ChoixBovinsPréHiver=OUI,TotalVeauMâle_3_6_RacesLaitières,TotalBovinsMâles_3_6mois*NbreJoursNourrirBovins))</f>
        <v>0</v>
      </c>
      <c r="BI219" s="333">
        <f t="array" ref="BI219">IF(Ration_complète_bovins[somme]&gt;0,0,IFERROR(IF(OR(AND(INDEX(Règles_bovins[Specificite],MATCH(ChoixRationBovins&amp;$BB219,Règles_bovins[Ration]&amp;Règles_bovins[Aliment],0))="s1",IF($BB219=Spécificité1Bovins,1)),
AND(INDEX(Règles_bovins[Specificite],MATCH(ChoixRationBovins&amp;$BB219,Règles_bovins[Ration]&amp;Règles_bovins[Aliment],0))="s2",IF($BB219=Spécificité2Bovins,1)),
INDEX(Règles_bovins[Specificite],MATCH(ChoixRationBovins&amp;$BB219,Règles_bovins[Ration]&amp;Règles_bovins[Aliment],0))="c"),
INDEX(Règles_bovins[Valeur 0-3],MATCH(ChoixRationBovins&amp;$BB219,Règles_bovins[Ration]&amp;Règles_bovins[Aliment],0)),0),0)*IF(ChoixBovinsPréHiver=OUI,TotalVeauMâle_0_3_RacesLaitières,TotalBovinsMâles_0_3mois*NbreJoursNourrirBovins))</f>
        <v>0</v>
      </c>
      <c r="BJ219" s="334">
        <f t="shared" si="13"/>
        <v>0</v>
      </c>
      <c r="BK219" s="276"/>
      <c r="BL219" s="276"/>
      <c r="BX219" s="332" t="str">
        <f t="shared" si="14"/>
        <v>Pomme de terre</v>
      </c>
      <c r="BY219" s="333">
        <f t="array" ref="BY219">SUM((IF(QualitéAlimentsChevreau_0_3_mois=BONNE,VLOOKUP("Pomme de terre",AlimentsRationCaprinsMâles,5,FALSE),0)+(IF(QualitéAlimentsChevrette_0_3_mois=BONNE,VLOOKUP("Pomme de terre",AlimentsRationCaprinsFemelles,5,FALSE),0)+(IF(QualitéAlimentsChevreau_3_6_mois=BONNE,VLOOKUP("Pomme de terre",AlimentsRationCaprinsMâles,4,FALSE),0)+(IF(QualitéAlimentsChevrette_3_6_mois=BONNE,VLOOKUP("Pomme de terre",AlimentsRationCaprinsFemelles,4,FALSE),0)+(IF(QualitéAlimentsJeuneBouc=BONNE,VLOOKUP("Pomme de terre",AlimentsRationCaprinsMâles,3,FALSE),0)+(IF(QualitéAlimentsJeuneChèvre=BONNE,VLOOKUP("Pomme de terre",AlimentsRationCaprinsFemelles,3,FALSE),0)+(IF(QualitéAlimentsBouc=BONNE,VLOOKUP("Pomme de terre",AlimentsRationCaprinsMâles,2,FALSE),0)+(IF(QualitéAlimentsChèvre=BONNE,VLOOKUP("Pomme de terre",AlimentsRationCaprinsFemelles,2,FALSE),0))))))))))</f>
        <v>0</v>
      </c>
      <c r="BZ219" s="333">
        <f t="array" ref="BZ219">SUM((IF(QualitéAlimentsChevreau_0_3_mois=MOYENNE,VLOOKUP("Pomme de terre",AlimentsRationCaprinsMâles,5,FALSE),0)+(IF(QualitéAlimentsChevrette_0_3_mois=MOYENNE,VLOOKUP("Pomme de terre",AlimentsRationCaprinsFemelles,5,FALSE),0)+(IF(QualitéAlimentsChevreau_3_6_mois=MOYENNE,VLOOKUP("Pomme de terre",AlimentsRationCaprinsMâles,4,FALSE),0)+(IF(QualitéAlimentsChevrette_3_6_mois=MOYENNE,VLOOKUP("Pomme de terre",AlimentsRationCaprinsFemelles,4,FALSE),0)+(IF(QualitéAlimentsJeuneBouc=MOYENNE,VLOOKUP("Pomme de terre",AlimentsRationCaprinsMâles,3,FALSE),0)+(IF(QualitéAlimentsJeuneChèvre=MOYENNE,VLOOKUP("Pomme de terre",AlimentsRationCaprinsFemelles,3,FALSE),0)+(IF(QualitéAlimentsBouc=MOYENNE,VLOOKUP("Pomme de terre",AlimentsRationCaprinsMâles,2,FALSE),0)+(IF(QualitéAlimentsChèvre=MOYENNE,VLOOKUP("Pomme de terre",AlimentsRationCaprinsFemelles,2,FALSE),0))))))))))</f>
        <v>0</v>
      </c>
      <c r="CA219" s="333">
        <f t="array" ref="CA219">SUM((IF(QualitéAlimentsChevreau_0_3_mois=MAUVAISE,VLOOKUP("Pomme de terre",AlimentsRationCaprinsMâles,5,FALSE),0)+(IF(QualitéAlimentsChevrette_0_3_mois=MAUVAISE,VLOOKUP("Pomme de terre",AlimentsRationCaprinsFemelles,5,FALSE),0)+(IF(QualitéAlimentsChevreau_3_6_mois=MAUVAISE,VLOOKUP("Pomme de terre",AlimentsRationCaprinsMâles,4,FALSE),0)+(IF(QualitéAlimentsChevrette_3_6_mois=MAUVAISE,VLOOKUP("Pomme de terre",AlimentsRationCaprinsFemelles,4,FALSE),0)+(IF(QualitéAlimentsJeuneBouc=MAUVAISE,VLOOKUP("Pomme de terre",AlimentsRationCaprinsMâles,3,FALSE),0)+(IF(QualitéAlimentsJeuneChèvre=MAUVAISE,VLOOKUP("Pomme de terre",AlimentsRationCaprinsFemelles,3,FALSE),0)+(IF(QualitéAlimentsBouc=MAUVAISE,VLOOKUP("Pomme de terre",AlimentsRationCaprinsMâles,2,FALSE),0)+(IF(QualitéAlimentsChèvre=MAUVAISE,VLOOKUP("Pomme de terre",AlimentsRationCaprinsFemelles,2,FALSE),0))))))))))</f>
        <v>0</v>
      </c>
      <c r="CB219" s="277"/>
      <c r="CC219" s="277"/>
      <c r="CD219" s="295"/>
      <c r="CE219" s="295"/>
      <c r="CF219" s="295"/>
      <c r="CG219" s="295"/>
      <c r="CH219" s="295"/>
    </row>
    <row r="220" spans="1:86" ht="12.75" customHeight="1" x14ac:dyDescent="0.2">
      <c r="A220" s="276"/>
      <c r="B220" s="276"/>
      <c r="BB220" s="332" t="s">
        <v>285</v>
      </c>
      <c r="BC220" s="333">
        <f t="array" ref="BC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36 et plus],MATCH(ChoixRationBovins&amp;$BB220,Règles_bovins[Ration]&amp;Règles_bovins[Aliment],0)),0),0)*IF(ChoixBovinsPréHiver=OUI,TotalTaureauxRacesLaitières,TotalTaureaux*NbreJoursNourrirBovins))</f>
        <v>0</v>
      </c>
      <c r="BD220" s="333">
        <f t="array" ref="BD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24-36],MATCH(ChoixRationBovins&amp;$BB220,Règles_bovins[Ration]&amp;Règles_bovins[Aliment],0)),0),0)*IF(ChoixBovinsPréHiver=OUI,TotalTaurillon_24_36_RacesLaitières,TotalBovinsMâles_24_36mois*NbreJoursNourrirBovins))</f>
        <v>0</v>
      </c>
      <c r="BE220" s="333">
        <f t="array" ref="BE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18-24],MATCH(ChoixRationBovins&amp;$BB220,Règles_bovins[Ration]&amp;Règles_bovins[Aliment],0)),0),0)*IF(ChoixBovinsPréHiver=OUI,TotalTaurillon_18_24_RacesLaitières,TotalBovinsMâles_18_24mois*NbreJoursNourrirBovins))</f>
        <v>0</v>
      </c>
      <c r="BF220" s="333">
        <f t="array" ref="BF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12-18],MATCH(ChoixRationBovins&amp;$BB220,Règles_bovins[Ration]&amp;Règles_bovins[Aliment],0)),0),0)*IF(ChoixBovinsPréHiver=OUI,animaux!D43,TotalBovinsMâles_12_18mois*NbreJoursNourrirBovins))</f>
        <v>0</v>
      </c>
      <c r="BG220" s="333">
        <f t="array" ref="BG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6-12],MATCH(ChoixRationBovins&amp;$BB220,Règles_bovins[Ration]&amp;Règles_bovins[Aliment],0)),0),0)*IF(ChoixBovinsPréHiver=OUI,TotalVeauMâle_6_12_RacesLaitières,TotalBovinsMâles_6_12mois*NbreJoursNourrirBovins))</f>
        <v>0</v>
      </c>
      <c r="BH220" s="333">
        <f t="array" ref="BH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3-6],MATCH(ChoixRationBovins&amp;$BB220,Règles_bovins[Ration]&amp;Règles_bovins[Aliment],0)),0),0)*IF(ChoixBovinsPréHiver=OUI,TotalVeauMâle_3_6_RacesLaitières,TotalBovinsMâles_3_6mois*NbreJoursNourrirBovins))</f>
        <v>0</v>
      </c>
      <c r="BI220" s="333">
        <f t="array" ref="BI220">IF(Ration_complète_bovins[somme]&gt;0,0,IFERROR(IF(OR(AND(INDEX(Règles_bovins[Specificite],MATCH(ChoixRationBovins&amp;$BB220,Règles_bovins[Ration]&amp;Règles_bovins[Aliment],0))="s1",IF($BB220=Spécificité1Bovins,1)),
AND(INDEX(Règles_bovins[Specificite],MATCH(ChoixRationBovins&amp;$BB220,Règles_bovins[Ration]&amp;Règles_bovins[Aliment],0))="s2",IF($BB220=Spécificité2Bovins,1)),
INDEX(Règles_bovins[Specificite],MATCH(ChoixRationBovins&amp;$BB220,Règles_bovins[Ration]&amp;Règles_bovins[Aliment],0))="c"),
INDEX(Règles_bovins[Valeur 0-3],MATCH(ChoixRationBovins&amp;$BB220,Règles_bovins[Ration]&amp;Règles_bovins[Aliment],0)),0),0)*IF(ChoixBovinsPréHiver=OUI,TotalVeauMâle_0_3_RacesLaitières,TotalBovinsMâles_0_3mois*NbreJoursNourrirBovins))</f>
        <v>0</v>
      </c>
      <c r="BJ220" s="334">
        <f t="shared" si="13"/>
        <v>0</v>
      </c>
      <c r="BK220" s="276"/>
      <c r="BL220" s="276"/>
      <c r="BX220" s="332" t="str">
        <f t="shared" si="14"/>
        <v>Pulpe déshydratée de betterave</v>
      </c>
      <c r="BY220" s="333">
        <f t="array" ref="BY220">SUM((IF(QualitéAlimentsChevreau_0_3_mois=BONNE,VLOOKUP("Pulpe déshydratée de betterave",AlimentsRationCaprinsMâles,5,FALSE),0)+(IF(QualitéAlimentsChevrette_0_3_mois=BONNE,VLOOKUP("Pulpe déshydratée de betterave",AlimentsRationCaprinsFemelles,5,FALSE),0)+(IF(QualitéAlimentsChevreau_3_6_mois=BONNE,VLOOKUP("Pulpe déshydratée de betterave",AlimentsRationCaprinsMâles,4,FALSE),0)+(IF(QualitéAlimentsChevrette_3_6_mois=BONNE,VLOOKUP("Pulpe déshydratée de betterave",AlimentsRationCaprinsFemelles,4,FALSE),0)+(IF(QualitéAlimentsJeuneBouc=BONNE,VLOOKUP("Pulpe déshydratée de betterave",AlimentsRationCaprinsMâles,3,FALSE),0)+(IF(QualitéAlimentsJeuneChèvre=BONNE,VLOOKUP("Pulpe déshydratée de betterave",AlimentsRationCaprinsFemelles,3,FALSE),0)+(IF(QualitéAlimentsBouc=BONNE,VLOOKUP("Pulpe déshydratée de betterave",AlimentsRationCaprinsMâles,2,FALSE),0)+(IF(QualitéAlimentsChèvre=BONNE,VLOOKUP("Pulpe déshydratée de betterave",AlimentsRationCaprinsFemelles,2,FALSE),0))))))))))</f>
        <v>0</v>
      </c>
      <c r="BZ220" s="333">
        <f t="array" ref="BZ220">SUM((IF(QualitéAlimentsChevreau_0_3_mois=MOYENNE,VLOOKUP("Pulpe déshydratée de betterave",AlimentsRationCaprinsMâles,5,FALSE),0)+(IF(QualitéAlimentsChevrette_0_3_mois=MOYENNE,VLOOKUP("Pulpe déshydratée de betterave",AlimentsRationCaprinsFemelles,5,FALSE),0)+(IF(QualitéAlimentsChevreau_3_6_mois=MOYENNE,VLOOKUP("Pulpe déshydratée de betterave",AlimentsRationCaprinsMâles,4,FALSE),0)+(IF(QualitéAlimentsChevrette_3_6_mois=MOYENNE,VLOOKUP("Pulpe déshydratée de betterave",AlimentsRationCaprinsFemelles,4,FALSE),0)+(IF(QualitéAlimentsJeuneBouc=MOYENNE,VLOOKUP("Pulpe déshydratée de betterave",AlimentsRationCaprinsMâles,3,FALSE),0)+(IF(QualitéAlimentsJeuneChèvre=MOYENNE,VLOOKUP("Pulpe déshydratée de betterave",AlimentsRationCaprinsFemelles,3,FALSE),0)+(IF(QualitéAlimentsBouc=MOYENNE,VLOOKUP("Pulpe déshydratée de betterave",AlimentsRationCaprinsMâles,2,FALSE),0)+(IF(QualitéAlimentsChèvre=MOYENNE,VLOOKUP("Pulpe déshydratée de betterave",AlimentsRationCaprinsFemelles,2,FALSE),0))))))))))</f>
        <v>0</v>
      </c>
      <c r="CA220" s="333">
        <f t="array" ref="CA220">SUM((IF(QualitéAlimentsChevreau_0_3_mois=MAUVAISE,VLOOKUP("Pulpe déshydratée de betterave",AlimentsRationCaprinsMâles,5,FALSE),0)+(IF(QualitéAlimentsChevrette_0_3_mois=MAUVAISE,VLOOKUP("Pulpe déshydratée de betterave",AlimentsRationCaprinsFemelles,5,FALSE),0)+(IF(QualitéAlimentsChevreau_3_6_mois=MAUVAISE,VLOOKUP("Pulpe déshydratée de betterave",AlimentsRationCaprinsMâles,4,FALSE),0)+(IF(QualitéAlimentsChevrette_3_6_mois=MAUVAISE,VLOOKUP("Pulpe déshydratée de betterave",AlimentsRationCaprinsFemelles,4,FALSE),0)+(IF(QualitéAlimentsJeuneBouc=MAUVAISE,VLOOKUP("Pulpe déshydratée de betterave",AlimentsRationCaprinsMâles,3,FALSE),0)+(IF(QualitéAlimentsJeuneChèvre=MAUVAISE,VLOOKUP("Pulpe déshydratée de betterave",AlimentsRationCaprinsFemelles,3,FALSE),0)+(IF(QualitéAlimentsBouc=MAUVAISE,VLOOKUP("Pulpe déshydratée de betterave",AlimentsRationCaprinsMâles,2,FALSE),0)+(IF(QualitéAlimentsChèvre=MAUVAISE,VLOOKUP("Pulpe déshydratée de betterave",AlimentsRationCaprinsFemelles,2,FALSE),0))))))))))</f>
        <v>0</v>
      </c>
      <c r="CB220" s="277"/>
      <c r="CC220" s="277"/>
      <c r="CD220" s="295"/>
      <c r="CE220" s="295"/>
      <c r="CF220" s="295"/>
      <c r="CG220" s="295"/>
      <c r="CH220" s="295"/>
    </row>
    <row r="221" spans="1:86" ht="12.75" customHeight="1" x14ac:dyDescent="0.2">
      <c r="A221" s="276"/>
      <c r="B221" s="276"/>
      <c r="BB221" s="332" t="s">
        <v>42</v>
      </c>
      <c r="BC221" s="333">
        <f t="array" ref="BC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36 et plus],MATCH(ChoixRationBovins&amp;$BB221,Règles_bovins[Ration]&amp;Règles_bovins[Aliment],0)),0),0)*IF(ChoixBovinsPréHiver=OUI,TotalTaureauxRacesLaitières,TotalTaureaux*NbreJoursNourrirBovins))</f>
        <v>0</v>
      </c>
      <c r="BD221" s="333">
        <f t="array" ref="BD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24-36],MATCH(ChoixRationBovins&amp;$BB221,Règles_bovins[Ration]&amp;Règles_bovins[Aliment],0)),0),0)*IF(ChoixBovinsPréHiver=OUI,TotalTaurillon_24_36_RacesLaitières,TotalBovinsMâles_24_36mois*NbreJoursNourrirBovins))</f>
        <v>0</v>
      </c>
      <c r="BE221" s="333">
        <f t="array" ref="BE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18-24],MATCH(ChoixRationBovins&amp;$BB221,Règles_bovins[Ration]&amp;Règles_bovins[Aliment],0)),0),0)*IF(ChoixBovinsPréHiver=OUI,TotalTaurillon_18_24_RacesLaitières,TotalBovinsMâles_18_24mois*NbreJoursNourrirBovins))</f>
        <v>0</v>
      </c>
      <c r="BF221" s="333">
        <f t="array" ref="BF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12-18],MATCH(ChoixRationBovins&amp;$BB221,Règles_bovins[Ration]&amp;Règles_bovins[Aliment],0)),0),0)*IF(ChoixBovinsPréHiver=OUI,animaux!D44,TotalBovinsMâles_12_18mois*NbreJoursNourrirBovins))</f>
        <v>0</v>
      </c>
      <c r="BG221" s="333">
        <f t="array" ref="BG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6-12],MATCH(ChoixRationBovins&amp;$BB221,Règles_bovins[Ration]&amp;Règles_bovins[Aliment],0)),0),0)*IF(ChoixBovinsPréHiver=OUI,TotalVeauMâle_6_12_RacesLaitières,TotalBovinsMâles_6_12mois*NbreJoursNourrirBovins))</f>
        <v>0</v>
      </c>
      <c r="BH221" s="333">
        <f t="array" ref="BH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3-6],MATCH(ChoixRationBovins&amp;$BB221,Règles_bovins[Ration]&amp;Règles_bovins[Aliment],0)),0),0)*IF(ChoixBovinsPréHiver=OUI,TotalVeauMâle_3_6_RacesLaitières,TotalBovinsMâles_3_6mois*NbreJoursNourrirBovins))</f>
        <v>0</v>
      </c>
      <c r="BI221" s="333">
        <f t="array" ref="BI221">IF(Ration_complète_bovins[somme]&gt;0,0,IFERROR(IF(OR(AND(INDEX(Règles_bovins[Specificite],MATCH(ChoixRationBovins&amp;$BB221,Règles_bovins[Ration]&amp;Règles_bovins[Aliment],0))="s1",IF($BB221=Spécificité1Bovins,1)),
AND(INDEX(Règles_bovins[Specificite],MATCH(ChoixRationBovins&amp;$BB221,Règles_bovins[Ration]&amp;Règles_bovins[Aliment],0))="s2",IF($BB221=Spécificité2Bovins,1)),
INDEX(Règles_bovins[Specificite],MATCH(ChoixRationBovins&amp;$BB221,Règles_bovins[Ration]&amp;Règles_bovins[Aliment],0))="c"),
INDEX(Règles_bovins[Valeur 0-3],MATCH(ChoixRationBovins&amp;$BB221,Règles_bovins[Ration]&amp;Règles_bovins[Aliment],0)),0),0)*IF(ChoixBovinsPréHiver=OUI,TotalVeauMâle_0_3_RacesLaitières,TotalBovinsMâles_0_3mois*NbreJoursNourrirBovins))</f>
        <v>0</v>
      </c>
      <c r="BJ221" s="334">
        <f t="shared" si="13"/>
        <v>0</v>
      </c>
      <c r="BK221" s="276"/>
      <c r="BL221" s="276"/>
      <c r="BX221" s="332" t="str">
        <f t="shared" si="14"/>
        <v>Ration complète</v>
      </c>
      <c r="BY221" s="333">
        <f t="array" ref="BY221">SUM((IF(QualitéAlimentsChevreau_0_3_mois=BONNE,VLOOKUP("Ration complète",AlimentsRationCaprinsMâles,5,FALSE),0)+(IF(QualitéAlimentsChevrette_0_3_mois=BONNE,VLOOKUP("Ration complète",AlimentsRationCaprinsFemelles,5,FALSE),0)+(IF(QualitéAlimentsChevreau_3_6_mois=BONNE,VLOOKUP("Ration complète",AlimentsRationCaprinsMâles,4,FALSE),0)+(IF(QualitéAlimentsChevrette_3_6_mois=BONNE,VLOOKUP("Ration complète",AlimentsRationCaprinsFemelles,4,FALSE),0)+(IF(QualitéAlimentsJeuneBouc=BONNE,VLOOKUP("Ration complète",AlimentsRationCaprinsMâles,3,FALSE),0)+(IF(QualitéAlimentsJeuneChèvre=BONNE,VLOOKUP("Ration complète",AlimentsRationCaprinsFemelles,3,FALSE),0)+(IF(QualitéAlimentsBouc=BONNE,VLOOKUP("Ration complète",AlimentsRationCaprinsMâles,2,FALSE),0)+(IF(QualitéAlimentsChèvre=BONNE,VLOOKUP("Ration complète",AlimentsRationCaprinsFemelles,2,FALSE),0))))))))))</f>
        <v>0</v>
      </c>
      <c r="BZ221" s="333">
        <f t="array" ref="BZ221">SUM((IF(QualitéAlimentsChevreau_0_3_mois=MOYENNE,VLOOKUP("Ration complète",AlimentsRationCaprinsMâles,5,FALSE),0)+(IF(QualitéAlimentsChevrette_0_3_mois=MOYENNE,VLOOKUP("Ration complète",AlimentsRationCaprinsFemelles,5,FALSE),0)+(IF(QualitéAlimentsChevreau_3_6_mois=MOYENNE,VLOOKUP("Ration complète",AlimentsRationCaprinsMâles,4,FALSE),0)+(IF(QualitéAlimentsChevrette_3_6_mois=MOYENNE,VLOOKUP("Ration complète",AlimentsRationCaprinsFemelles,4,FALSE),0)+(IF(QualitéAlimentsJeuneBouc=MOYENNE,VLOOKUP("Ration complète",AlimentsRationCaprinsMâles,3,FALSE),0)+(IF(QualitéAlimentsJeuneChèvre=MOYENNE,VLOOKUP("Ration complète",AlimentsRationCaprinsFemelles,3,FALSE),0)+(IF(QualitéAlimentsBouc=MOYENNE,VLOOKUP("Ration complète",AlimentsRationCaprinsMâles,2,FALSE),0)+(IF(QualitéAlimentsChèvre=MOYENNE,VLOOKUP("Ration complète",AlimentsRationCaprinsFemelles,2,FALSE),0))))))))))</f>
        <v>0</v>
      </c>
      <c r="CA221" s="333">
        <f t="array" ref="CA221">SUM((IF(QualitéAlimentsChevreau_0_3_mois=MAUVAISE,VLOOKUP("Ration complète",AlimentsRationCaprinsMâles,5,FALSE),0)+(IF(QualitéAlimentsChevrette_0_3_mois=MAUVAISE,VLOOKUP("Ration complète",AlimentsRationCaprinsFemelles,5,FALSE),0)+(IF(QualitéAlimentsChevreau_3_6_mois=MAUVAISE,VLOOKUP("Ration complète",AlimentsRationCaprinsMâles,4,FALSE),0)+(IF(QualitéAlimentsChevrette_3_6_mois=MAUVAISE,VLOOKUP("Ration complète",AlimentsRationCaprinsFemelles,4,FALSE),0)+(IF(QualitéAlimentsJeuneBouc=MAUVAISE,VLOOKUP("Ration complète",AlimentsRationCaprinsMâles,3,FALSE),0)+(IF(QualitéAlimentsJeuneChèvre=MAUVAISE,VLOOKUP("Ration complète",AlimentsRationCaprinsFemelles,3,FALSE),0)+(IF(QualitéAlimentsBouc=MAUVAISE,VLOOKUP("Ration complète",AlimentsRationCaprinsMâles,2,FALSE),0)+(IF(QualitéAlimentsChèvre=MAUVAISE,VLOOKUP("Ration complète",AlimentsRationCaprinsFemelles,2,FALSE),0))))))))))</f>
        <v>0</v>
      </c>
      <c r="CB221" s="277"/>
      <c r="CC221" s="277"/>
      <c r="CD221" s="295"/>
      <c r="CE221" s="295"/>
      <c r="CF221" s="295"/>
      <c r="CG221" s="295"/>
      <c r="CH221" s="295"/>
    </row>
    <row r="222" spans="1:86" ht="12.75" customHeight="1" x14ac:dyDescent="0.2">
      <c r="A222" s="276"/>
      <c r="B222" s="276"/>
      <c r="BB222" s="332" t="s">
        <v>382</v>
      </c>
      <c r="BC222" s="333">
        <f t="array" ref="BC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36 et plus],MATCH(ChoixRationBovins&amp;$BB222,Règles_bovins[Ration]&amp;Règles_bovins[Aliment],0)),0),0)*IF(ChoixBovinsPréHiver=OUI,TotalTaureauxRacesLaitières,TotalTaureaux*NbreJoursNourrirBovins))</f>
        <v>0</v>
      </c>
      <c r="BD222" s="333">
        <f t="array" ref="BD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24-36],MATCH(ChoixRationBovins&amp;$BB222,Règles_bovins[Ration]&amp;Règles_bovins[Aliment],0)),0),0)*IF(ChoixBovinsPréHiver=OUI,TotalTaurillon_24_36_RacesLaitières,TotalBovinsMâles_24_36mois*NbreJoursNourrirBovins))</f>
        <v>0</v>
      </c>
      <c r="BE222" s="333">
        <f t="array" ref="BE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18-24],MATCH(ChoixRationBovins&amp;$BB222,Règles_bovins[Ration]&amp;Règles_bovins[Aliment],0)),0),0)*IF(ChoixBovinsPréHiver=OUI,TotalTaurillon_18_24_RacesLaitières,TotalBovinsMâles_18_24mois*NbreJoursNourrirBovins))</f>
        <v>0</v>
      </c>
      <c r="BF222" s="333">
        <f t="array" ref="BF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12-18],MATCH(ChoixRationBovins&amp;$BB222,Règles_bovins[Ration]&amp;Règles_bovins[Aliment],0)),0),0)*IF(ChoixBovinsPréHiver=OUI,animaux!D45,TotalBovinsMâles_12_18mois*NbreJoursNourrirBovins))</f>
        <v>0</v>
      </c>
      <c r="BG222" s="333">
        <f t="array" ref="BG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6-12],MATCH(ChoixRationBovins&amp;$BB222,Règles_bovins[Ration]&amp;Règles_bovins[Aliment],0)),0),0)*IF(ChoixBovinsPréHiver=OUI,TotalVeauMâle_6_12_RacesLaitières,TotalBovinsMâles_6_12mois*NbreJoursNourrirBovins))</f>
        <v>0</v>
      </c>
      <c r="BH222" s="333">
        <f t="array" ref="BH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3-6],MATCH(ChoixRationBovins&amp;$BB222,Règles_bovins[Ration]&amp;Règles_bovins[Aliment],0)),0),0)*IF(ChoixBovinsPréHiver=OUI,TotalVeauMâle_3_6_RacesLaitières,TotalBovinsMâles_3_6mois*NbreJoursNourrirBovins))</f>
        <v>0</v>
      </c>
      <c r="BI222" s="333">
        <f t="array" ref="BI222">IF(Ration_complète_bovins[somme]&gt;0,0,IFERROR(IF(OR(AND(INDEX(Règles_bovins[Specificite],MATCH(ChoixRationBovins&amp;$BB222,Règles_bovins[Ration]&amp;Règles_bovins[Aliment],0))="s1",IF($BB222=Spécificité1Bovins,1)),
AND(INDEX(Règles_bovins[Specificite],MATCH(ChoixRationBovins&amp;$BB222,Règles_bovins[Ration]&amp;Règles_bovins[Aliment],0))="s2",IF($BB222=Spécificité2Bovins,1)),
INDEX(Règles_bovins[Specificite],MATCH(ChoixRationBovins&amp;$BB222,Règles_bovins[Ration]&amp;Règles_bovins[Aliment],0))="c"),
INDEX(Règles_bovins[Valeur 0-3],MATCH(ChoixRationBovins&amp;$BB222,Règles_bovins[Ration]&amp;Règles_bovins[Aliment],0)),0),0)*IF(ChoixBovinsPréHiver=OUI,TotalVeauMâle_0_3_RacesLaitières,TotalBovinsMâles_0_3mois*NbreJoursNourrirBovins))</f>
        <v>0</v>
      </c>
      <c r="BJ222" s="334">
        <f t="shared" si="13"/>
        <v>0</v>
      </c>
      <c r="BK222" s="276"/>
      <c r="BL222" s="276"/>
      <c r="BX222" s="332" t="str">
        <f t="shared" si="14"/>
        <v>Seigle</v>
      </c>
      <c r="BY222" s="333">
        <f t="array" ref="BY222">SUM((IF(QualitéAlimentsChevreau_0_3_mois=BONNE,VLOOKUP("Seigle",AlimentsRationCaprinsMâles,5,FALSE),0)+(IF(QualitéAlimentsChevrette_0_3_mois=BONNE,VLOOKUP("Seigle",AlimentsRationCaprinsFemelles,5,FALSE),0)+(IF(QualitéAlimentsChevreau_3_6_mois=BONNE,VLOOKUP("Seigle",AlimentsRationCaprinsMâles,4,FALSE),0)+(IF(QualitéAlimentsChevrette_3_6_mois=BONNE,VLOOKUP("Seigle",AlimentsRationCaprinsFemelles,4,FALSE),0)+(IF(QualitéAlimentsJeuneBouc=BONNE,VLOOKUP("Seigle",AlimentsRationCaprinsMâles,3,FALSE),0)+(IF(QualitéAlimentsJeuneChèvre=BONNE,VLOOKUP("Seigle",AlimentsRationCaprinsFemelles,3,FALSE),0)+(IF(QualitéAlimentsBouc=BONNE,VLOOKUP("Seigle",AlimentsRationCaprinsMâles,2,FALSE),0)+(IF(QualitéAlimentsChèvre=BONNE,VLOOKUP("Seigle",AlimentsRationCaprinsFemelles,2,FALSE),0))))))))))</f>
        <v>0</v>
      </c>
      <c r="BZ222" s="333">
        <f t="array" ref="BZ222">SUM((IF(QualitéAlimentsChevreau_0_3_mois=MOYENNE,VLOOKUP("Seigle",AlimentsRationCaprinsMâles,5,FALSE),0)+(IF(QualitéAlimentsChevrette_0_3_mois=MOYENNE,VLOOKUP("Seigle",AlimentsRationCaprinsFemelles,5,FALSE),0)+(IF(QualitéAlimentsChevreau_3_6_mois=MOYENNE,VLOOKUP("Seigle",AlimentsRationCaprinsMâles,4,FALSE),0)+(IF(QualitéAlimentsChevrette_3_6_mois=MOYENNE,VLOOKUP("Seigle",AlimentsRationCaprinsFemelles,4,FALSE),0)+(IF(QualitéAlimentsJeuneBouc=MOYENNE,VLOOKUP("Seigle",AlimentsRationCaprinsMâles,3,FALSE),0)+(IF(QualitéAlimentsJeuneChèvre=MOYENNE,VLOOKUP("Seigle",AlimentsRationCaprinsFemelles,3,FALSE),0)+(IF(QualitéAlimentsBouc=MOYENNE,VLOOKUP("Seigle",AlimentsRationCaprinsMâles,2,FALSE),0)+(IF(QualitéAlimentsChèvre=MOYENNE,VLOOKUP("Seigle",AlimentsRationCaprinsFemelles,2,FALSE),0))))))))))</f>
        <v>0</v>
      </c>
      <c r="CA222" s="333">
        <f t="array" ref="CA222">SUM((IF(QualitéAlimentsChevreau_0_3_mois=MAUVAISE,VLOOKUP("Seigle",AlimentsRationCaprinsMâles,5,FALSE),0)+(IF(QualitéAlimentsChevrette_0_3_mois=MAUVAISE,VLOOKUP("Seigle",AlimentsRationCaprinsFemelles,5,FALSE),0)+(IF(QualitéAlimentsChevreau_3_6_mois=MAUVAISE,VLOOKUP("Seigle",AlimentsRationCaprinsMâles,4,FALSE),0)+(IF(QualitéAlimentsChevrette_3_6_mois=MAUVAISE,VLOOKUP("Seigle",AlimentsRationCaprinsFemelles,4,FALSE),0)+(IF(QualitéAlimentsJeuneBouc=MAUVAISE,VLOOKUP("Seigle",AlimentsRationCaprinsMâles,3,FALSE),0)+(IF(QualitéAlimentsJeuneChèvre=MAUVAISE,VLOOKUP("Seigle",AlimentsRationCaprinsFemelles,3,FALSE),0)+(IF(QualitéAlimentsBouc=MAUVAISE,VLOOKUP("Seigle",AlimentsRationCaprinsMâles,2,FALSE),0)+(IF(QualitéAlimentsChèvre=MAUVAISE,VLOOKUP("Seigle",AlimentsRationCaprinsFemelles,2,FALSE),0))))))))))</f>
        <v>0</v>
      </c>
      <c r="CB222" s="277"/>
      <c r="CC222" s="277"/>
      <c r="CD222" s="295"/>
      <c r="CE222" s="295"/>
      <c r="CF222" s="295"/>
      <c r="CG222" s="295"/>
      <c r="CH222" s="295"/>
    </row>
    <row r="223" spans="1:86" ht="12.75" customHeight="1" x14ac:dyDescent="0.2">
      <c r="A223" s="276"/>
      <c r="B223" s="276"/>
      <c r="BB223" s="332" t="s">
        <v>168</v>
      </c>
      <c r="BC223" s="333">
        <f t="array" ref="BC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36 et plus],MATCH(ChoixRationBovins&amp;$BB223,Règles_bovins[Ration]&amp;Règles_bovins[Aliment],0)),0),0)*IF(ChoixBovinsPréHiver=OUI,TotalTaureauxRacesLaitières,TotalTaureaux*NbreJoursNourrirBovins))</f>
        <v>0</v>
      </c>
      <c r="BD223" s="333">
        <f t="array" ref="BD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24-36],MATCH(ChoixRationBovins&amp;$BB223,Règles_bovins[Ration]&amp;Règles_bovins[Aliment],0)),0),0)*IF(ChoixBovinsPréHiver=OUI,TotalTaurillon_24_36_RacesLaitières,TotalBovinsMâles_24_36mois*NbreJoursNourrirBovins))</f>
        <v>0</v>
      </c>
      <c r="BE223" s="333">
        <f t="array" ref="BE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18-24],MATCH(ChoixRationBovins&amp;$BB223,Règles_bovins[Ration]&amp;Règles_bovins[Aliment],0)),0),0)*IF(ChoixBovinsPréHiver=OUI,TotalTaurillon_18_24_RacesLaitières,TotalBovinsMâles_18_24mois*NbreJoursNourrirBovins))</f>
        <v>0</v>
      </c>
      <c r="BF223" s="333">
        <f t="array" ref="BF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12-18],MATCH(ChoixRationBovins&amp;$BB223,Règles_bovins[Ration]&amp;Règles_bovins[Aliment],0)),0),0)*IF(ChoixBovinsPréHiver=OUI,animaux!D46,TotalBovinsMâles_12_18mois*NbreJoursNourrirBovins))</f>
        <v>0</v>
      </c>
      <c r="BG223" s="333">
        <f t="array" ref="BG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6-12],MATCH(ChoixRationBovins&amp;$BB223,Règles_bovins[Ration]&amp;Règles_bovins[Aliment],0)),0),0)*IF(ChoixBovinsPréHiver=OUI,TotalVeauMâle_6_12_RacesLaitières,TotalBovinsMâles_6_12mois*NbreJoursNourrirBovins))</f>
        <v>0</v>
      </c>
      <c r="BH223" s="333">
        <f t="array" ref="BH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3-6],MATCH(ChoixRationBovins&amp;$BB223,Règles_bovins[Ration]&amp;Règles_bovins[Aliment],0)),0),0)*IF(ChoixBovinsPréHiver=OUI,TotalVeauMâle_3_6_RacesLaitières,TotalBovinsMâles_3_6mois*NbreJoursNourrirBovins))</f>
        <v>0</v>
      </c>
      <c r="BI223" s="333">
        <f t="array" ref="BI223">IF(Ration_complète_bovins[somme]&gt;0,0,IFERROR(IF(OR(AND(INDEX(Règles_bovins[Specificite],MATCH(ChoixRationBovins&amp;$BB223,Règles_bovins[Ration]&amp;Règles_bovins[Aliment],0))="s1",IF($BB223=Spécificité1Bovins,1)),
AND(INDEX(Règles_bovins[Specificite],MATCH(ChoixRationBovins&amp;$BB223,Règles_bovins[Ration]&amp;Règles_bovins[Aliment],0))="s2",IF($BB223=Spécificité2Bovins,1)),
INDEX(Règles_bovins[Specificite],MATCH(ChoixRationBovins&amp;$BB223,Règles_bovins[Ration]&amp;Règles_bovins[Aliment],0))="c"),
INDEX(Règles_bovins[Valeur 0-3],MATCH(ChoixRationBovins&amp;$BB223,Règles_bovins[Ration]&amp;Règles_bovins[Aliment],0)),0),0)*IF(ChoixBovinsPréHiver=OUI,TotalVeauMâle_0_3_RacesLaitières,TotalBovinsMâles_0_3mois*NbreJoursNourrirBovins))</f>
        <v>0</v>
      </c>
      <c r="BJ223" s="334">
        <f t="shared" si="13"/>
        <v>0</v>
      </c>
      <c r="BK223" s="276"/>
      <c r="BX223" s="332" t="str">
        <f t="shared" si="14"/>
        <v>Soja</v>
      </c>
      <c r="BY223" s="333">
        <f t="array" ref="BY223">SUM((IF(QualitéAlimentsChevreau_0_3_mois=BONNE,VLOOKUP("Soja",AlimentsRationCaprinsMâles,5,FALSE),0)+(IF(QualitéAlimentsChevrette_0_3_mois=BONNE,VLOOKUP("Soja",AlimentsRationCaprinsFemelles,5,FALSE),0)+(IF(QualitéAlimentsChevreau_3_6_mois=BONNE,VLOOKUP("Soja",AlimentsRationCaprinsMâles,4,FALSE),0)+(IF(QualitéAlimentsChevrette_3_6_mois=BONNE,VLOOKUP("Soja",AlimentsRationCaprinsFemelles,4,FALSE),0)+(IF(QualitéAlimentsJeuneBouc=BONNE,VLOOKUP("Soja",AlimentsRationCaprinsMâles,3,FALSE),0)+(IF(QualitéAlimentsJeuneChèvre=BONNE,VLOOKUP("Soja",AlimentsRationCaprinsFemelles,3,FALSE),0)+(IF(QualitéAlimentsBouc=BONNE,VLOOKUP("Soja",AlimentsRationCaprinsMâles,2,FALSE),0)+(IF(QualitéAlimentsChèvre=BONNE,VLOOKUP("Soja",AlimentsRationCaprinsFemelles,2,FALSE),0))))))))))</f>
        <v>0</v>
      </c>
      <c r="BZ223" s="333">
        <f t="array" ref="BZ223">SUM((IF(QualitéAlimentsChevreau_0_3_mois=MOYENNE,VLOOKUP("Soja",AlimentsRationCaprinsMâles,5,FALSE),0)+(IF(QualitéAlimentsChevrette_0_3_mois=MOYENNE,VLOOKUP("Soja",AlimentsRationCaprinsFemelles,5,FALSE),0)+(IF(QualitéAlimentsChevreau_3_6_mois=MOYENNE,VLOOKUP("Soja",AlimentsRationCaprinsMâles,4,FALSE),0)+(IF(QualitéAlimentsChevrette_3_6_mois=MOYENNE,VLOOKUP("Soja",AlimentsRationCaprinsFemelles,4,FALSE),0)+(IF(QualitéAlimentsJeuneBouc=MOYENNE,VLOOKUP("Soja",AlimentsRationCaprinsMâles,3,FALSE),0)+(IF(QualitéAlimentsJeuneChèvre=MOYENNE,VLOOKUP("Soja",AlimentsRationCaprinsFemelles,3,FALSE),0)+(IF(QualitéAlimentsBouc=MOYENNE,VLOOKUP("Soja",AlimentsRationCaprinsMâles,2,FALSE),0)+(IF(QualitéAlimentsChèvre=MOYENNE,VLOOKUP("Soja",AlimentsRationCaprinsFemelles,2,FALSE),0))))))))))</f>
        <v>0</v>
      </c>
      <c r="CA223" s="333">
        <f t="array" ref="CA223">SUM((IF(QualitéAlimentsChevreau_0_3_mois=MAUVAISE,VLOOKUP("Soja",AlimentsRationCaprinsMâles,5,FALSE),0)+(IF(QualitéAlimentsChevrette_0_3_mois=MAUVAISE,VLOOKUP("Soja",AlimentsRationCaprinsFemelles,5,FALSE),0)+(IF(QualitéAlimentsChevreau_3_6_mois=MAUVAISE,VLOOKUP("Soja",AlimentsRationCaprinsMâles,4,FALSE),0)+(IF(QualitéAlimentsChevrette_3_6_mois=MAUVAISE,VLOOKUP("Soja",AlimentsRationCaprinsFemelles,4,FALSE),0)+(IF(QualitéAlimentsJeuneBouc=MAUVAISE,VLOOKUP("Soja",AlimentsRationCaprinsMâles,3,FALSE),0)+(IF(QualitéAlimentsJeuneChèvre=MAUVAISE,VLOOKUP("Soja",AlimentsRationCaprinsFemelles,3,FALSE),0)+(IF(QualitéAlimentsBouc=MAUVAISE,VLOOKUP("Soja",AlimentsRationCaprinsMâles,2,FALSE),0)+(IF(QualitéAlimentsChèvre=MAUVAISE,VLOOKUP("Soja",AlimentsRationCaprinsFemelles,2,FALSE),0))))))))))</f>
        <v>0</v>
      </c>
      <c r="CB223" s="277"/>
      <c r="CC223" s="277"/>
      <c r="CD223" s="295"/>
      <c r="CE223" s="295"/>
      <c r="CF223" s="295"/>
      <c r="CG223" s="295"/>
      <c r="CH223" s="295"/>
    </row>
    <row r="224" spans="1:86" ht="12.75" customHeight="1" x14ac:dyDescent="0.2">
      <c r="A224" s="276"/>
      <c r="B224" s="276"/>
      <c r="BB224" s="332" t="s">
        <v>732</v>
      </c>
      <c r="BC224" s="333">
        <f t="array" ref="BC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36 et plus],MATCH(ChoixRationBovins&amp;$BB224,Règles_bovins[Ration]&amp;Règles_bovins[Aliment],0)),0),0)*IF(ChoixBovinsPréHiver=OUI,TotalTaureauxRacesLaitières,TotalTaureaux*NbreJoursNourrirBovins))</f>
        <v>0</v>
      </c>
      <c r="BD224" s="333">
        <f t="array" ref="BD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24-36],MATCH(ChoixRationBovins&amp;$BB224,Règles_bovins[Ration]&amp;Règles_bovins[Aliment],0)),0),0)*IF(ChoixBovinsPréHiver=OUI,TotalTaurillon_24_36_RacesLaitières,TotalBovinsMâles_24_36mois*NbreJoursNourrirBovins))</f>
        <v>0</v>
      </c>
      <c r="BE224" s="333">
        <f t="array" ref="BE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18-24],MATCH(ChoixRationBovins&amp;$BB224,Règles_bovins[Ration]&amp;Règles_bovins[Aliment],0)),0),0)*IF(ChoixBovinsPréHiver=OUI,TotalTaurillon_18_24_RacesLaitières,TotalBovinsMâles_18_24mois*NbreJoursNourrirBovins))</f>
        <v>0</v>
      </c>
      <c r="BF224" s="333">
        <f t="array" ref="BF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12-18],MATCH(ChoixRationBovins&amp;$BB224,Règles_bovins[Ration]&amp;Règles_bovins[Aliment],0)),0),0)*IF(ChoixBovinsPréHiver=OUI,animaux!D47,TotalBovinsMâles_12_18mois*NbreJoursNourrirBovins))</f>
        <v>0</v>
      </c>
      <c r="BG224" s="333">
        <f t="array" ref="BG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6-12],MATCH(ChoixRationBovins&amp;$BB224,Règles_bovins[Ration]&amp;Règles_bovins[Aliment],0)),0),0)*IF(ChoixBovinsPréHiver=OUI,TotalVeauMâle_6_12_RacesLaitières,TotalBovinsMâles_6_12mois*NbreJoursNourrirBovins))</f>
        <v>0</v>
      </c>
      <c r="BH224" s="333">
        <f t="array" ref="BH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3-6],MATCH(ChoixRationBovins&amp;$BB224,Règles_bovins[Ration]&amp;Règles_bovins[Aliment],0)),0),0)*IF(ChoixBovinsPréHiver=OUI,TotalVeauMâle_3_6_RacesLaitières,TotalBovinsMâles_3_6mois*NbreJoursNourrirBovins))</f>
        <v>0</v>
      </c>
      <c r="BI224" s="333">
        <f t="array" ref="BI224">IF(Ration_complète_bovins[somme]&gt;0,0,IFERROR(IF(OR(AND(INDEX(Règles_bovins[Specificite],MATCH(ChoixRationBovins&amp;$BB224,Règles_bovins[Ration]&amp;Règles_bovins[Aliment],0))="s1",IF($BB224=Spécificité1Bovins,1)),
AND(INDEX(Règles_bovins[Specificite],MATCH(ChoixRationBovins&amp;$BB224,Règles_bovins[Ration]&amp;Règles_bovins[Aliment],0))="s2",IF($BB224=Spécificité2Bovins,1)),
INDEX(Règles_bovins[Specificite],MATCH(ChoixRationBovins&amp;$BB224,Règles_bovins[Ration]&amp;Règles_bovins[Aliment],0))="c"),
INDEX(Règles_bovins[Valeur 0-3],MATCH(ChoixRationBovins&amp;$BB224,Règles_bovins[Ration]&amp;Règles_bovins[Aliment],0)),0),0)*IF(ChoixBovinsPréHiver=OUI,TotalVeauMâle_0_3_RacesLaitières,TotalBovinsMâles_0_3mois*NbreJoursNourrirBovins))</f>
        <v>0</v>
      </c>
      <c r="BJ224" s="334">
        <f t="shared" si="13"/>
        <v>0</v>
      </c>
      <c r="BK224" s="276"/>
      <c r="BX224" s="332" t="str">
        <f t="shared" si="14"/>
        <v>Sorgho ensilé</v>
      </c>
      <c r="BY224" s="333">
        <f t="array" ref="BY224">SUM((IF(QualitéAlimentsChevreau_0_3_mois=BONNE,VLOOKUP("Sorgho ensilé",AlimentsRationCaprinsMâles,5,FALSE),0)+(IF(QualitéAlimentsChevrette_0_3_mois=BONNE,VLOOKUP("Sorgho ensilé",AlimentsRationCaprinsFemelles,5,FALSE),0)+(IF(QualitéAlimentsChevreau_3_6_mois=BONNE,VLOOKUP("Sorgho ensilé",AlimentsRationCaprinsMâles,4,FALSE),0)+(IF(QualitéAlimentsChevrette_3_6_mois=BONNE,VLOOKUP("Sorgho ensilé",AlimentsRationCaprinsFemelles,4,FALSE),0)+(IF(QualitéAlimentsJeuneBouc=BONNE,VLOOKUP("Sorgho ensilé",AlimentsRationCaprinsMâles,3,FALSE),0)+(IF(QualitéAlimentsJeuneChèvre=BONNE,VLOOKUP("Sorgho ensilé",AlimentsRationCaprinsFemelles,3,FALSE),0)+(IF(QualitéAlimentsBouc=BONNE,VLOOKUP("Sorgho ensilé",AlimentsRationCaprinsMâles,2,FALSE),0)+(IF(QualitéAlimentsChèvre=BONNE,VLOOKUP("Sorgho ensilé",AlimentsRationCaprinsFemelles,2,FALSE),0))))))))))</f>
        <v>0</v>
      </c>
      <c r="BZ224" s="333">
        <f t="array" ref="BZ224">SUM((IF(QualitéAlimentsChevreau_0_3_mois=MOYENNE,VLOOKUP("Sorgho ensilé",AlimentsRationCaprinsMâles,5,FALSE),0)+(IF(QualitéAlimentsChevrette_0_3_mois=MOYENNE,VLOOKUP("Sorgho ensilé",AlimentsRationCaprinsFemelles,5,FALSE),0)+(IF(QualitéAlimentsChevreau_3_6_mois=MOYENNE,VLOOKUP("Sorgho ensilé",AlimentsRationCaprinsMâles,4,FALSE),0)+(IF(QualitéAlimentsChevrette_3_6_mois=MOYENNE,VLOOKUP("Sorgho ensilé",AlimentsRationCaprinsFemelles,4,FALSE),0)+(IF(QualitéAlimentsJeuneBouc=MOYENNE,VLOOKUP("Sorgho ensilé",AlimentsRationCaprinsMâles,3,FALSE),0)+(IF(QualitéAlimentsJeuneChèvre=MOYENNE,VLOOKUP("Sorgho ensilé",AlimentsRationCaprinsFemelles,3,FALSE),0)+(IF(QualitéAlimentsBouc=MOYENNE,VLOOKUP("Sorgho ensilé",AlimentsRationCaprinsMâles,2,FALSE),0)+(IF(QualitéAlimentsChèvre=MOYENNE,VLOOKUP("Sorgho ensilé",AlimentsRationCaprinsFemelles,2,FALSE),0))))))))))</f>
        <v>0</v>
      </c>
      <c r="CA224" s="333">
        <f t="array" ref="CA224">SUM((IF(QualitéAlimentsChevreau_0_3_mois=MAUVAISE,VLOOKUP("Sorgho ensilé",AlimentsRationCaprinsMâles,5,FALSE),0)+(IF(QualitéAlimentsChevrette_0_3_mois=MAUVAISE,VLOOKUP("Sorgho ensilé",AlimentsRationCaprinsFemelles,5,FALSE),0)+(IF(QualitéAlimentsChevreau_3_6_mois=MAUVAISE,VLOOKUP("Sorgho ensilé",AlimentsRationCaprinsMâles,4,FALSE),0)+(IF(QualitéAlimentsChevrette_3_6_mois=MAUVAISE,VLOOKUP("Sorgho ensilé",AlimentsRationCaprinsFemelles,4,FALSE),0)+(IF(QualitéAlimentsJeuneBouc=MAUVAISE,VLOOKUP("Sorgho ensilé",AlimentsRationCaprinsMâles,3,FALSE),0)+(IF(QualitéAlimentsJeuneChèvre=MAUVAISE,VLOOKUP("Sorgho ensilé",AlimentsRationCaprinsFemelles,3,FALSE),0)+(IF(QualitéAlimentsBouc=MAUVAISE,VLOOKUP("Sorgho ensilé",AlimentsRationCaprinsMâles,2,FALSE),0)+(IF(QualitéAlimentsChèvre=MAUVAISE,VLOOKUP("Sorgho ensilé",AlimentsRationCaprinsFemelles,2,FALSE),0))))))))))</f>
        <v>0</v>
      </c>
      <c r="CB224" s="277"/>
      <c r="CC224" s="277"/>
      <c r="CD224" s="295"/>
      <c r="CE224" s="295"/>
      <c r="CF224" s="295"/>
      <c r="CG224" s="295"/>
      <c r="CH224" s="295"/>
    </row>
    <row r="225" spans="1:86" ht="12.75" customHeight="1" x14ac:dyDescent="0.2">
      <c r="A225" s="276"/>
      <c r="B225" s="276"/>
      <c r="BB225" s="332" t="s">
        <v>733</v>
      </c>
      <c r="BC225" s="333">
        <f t="array" ref="BC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36 et plus],MATCH(ChoixRationBovins&amp;$BB225,Règles_bovins[Ration]&amp;Règles_bovins[Aliment],0)),0),0)*IF(ChoixBovinsPréHiver=OUI,TotalTaureauxRacesLaitières,TotalTaureaux*NbreJoursNourrirBovins))</f>
        <v>0</v>
      </c>
      <c r="BD225" s="333">
        <f t="array" ref="BD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24-36],MATCH(ChoixRationBovins&amp;$BB225,Règles_bovins[Ration]&amp;Règles_bovins[Aliment],0)),0),0)*IF(ChoixBovinsPréHiver=OUI,TotalTaurillon_24_36_RacesLaitières,TotalBovinsMâles_24_36mois*NbreJoursNourrirBovins))</f>
        <v>0</v>
      </c>
      <c r="BE225" s="333">
        <f t="array" ref="BE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18-24],MATCH(ChoixRationBovins&amp;$BB225,Règles_bovins[Ration]&amp;Règles_bovins[Aliment],0)),0),0)*IF(ChoixBovinsPréHiver=OUI,TotalTaurillon_18_24_RacesLaitières,TotalBovinsMâles_18_24mois*NbreJoursNourrirBovins))</f>
        <v>0</v>
      </c>
      <c r="BF225" s="333">
        <f t="array" ref="BF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12-18],MATCH(ChoixRationBovins&amp;$BB225,Règles_bovins[Ration]&amp;Règles_bovins[Aliment],0)),0),0)*IF(ChoixBovinsPréHiver=OUI,animaux!D48,TotalBovinsMâles_12_18mois*NbreJoursNourrirBovins))</f>
        <v>0</v>
      </c>
      <c r="BG225" s="333">
        <f t="array" ref="BG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6-12],MATCH(ChoixRationBovins&amp;$BB225,Règles_bovins[Ration]&amp;Règles_bovins[Aliment],0)),0),0)*IF(ChoixBovinsPréHiver=OUI,TotalVeauMâle_6_12_RacesLaitières,TotalBovinsMâles_6_12mois*NbreJoursNourrirBovins))</f>
        <v>0</v>
      </c>
      <c r="BH225" s="333">
        <f t="array" ref="BH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3-6],MATCH(ChoixRationBovins&amp;$BB225,Règles_bovins[Ration]&amp;Règles_bovins[Aliment],0)),0),0)*IF(ChoixBovinsPréHiver=OUI,TotalVeauMâle_3_6_RacesLaitières,TotalBovinsMâles_3_6mois*NbreJoursNourrirBovins))</f>
        <v>0</v>
      </c>
      <c r="BI225" s="333">
        <f t="array" ref="BI225">IF(Ration_complète_bovins[somme]&gt;0,0,IFERROR(IF(OR(AND(INDEX(Règles_bovins[Specificite],MATCH(ChoixRationBovins&amp;$BB225,Règles_bovins[Ration]&amp;Règles_bovins[Aliment],0))="s1",IF($BB225=Spécificité1Bovins,1)),
AND(INDEX(Règles_bovins[Specificite],MATCH(ChoixRationBovins&amp;$BB225,Règles_bovins[Ration]&amp;Règles_bovins[Aliment],0))="s2",IF($BB225=Spécificité2Bovins,1)),
INDEX(Règles_bovins[Specificite],MATCH(ChoixRationBovins&amp;$BB225,Règles_bovins[Ration]&amp;Règles_bovins[Aliment],0))="c"),
INDEX(Règles_bovins[Valeur 0-3],MATCH(ChoixRationBovins&amp;$BB225,Règles_bovins[Ration]&amp;Règles_bovins[Aliment],0)),0),0)*IF(ChoixBovinsPréHiver=OUI,TotalVeauMâle_0_3_RacesLaitières,TotalBovinsMâles_0_3mois*NbreJoursNourrirBovins))</f>
        <v>0</v>
      </c>
      <c r="BJ225" s="334">
        <f t="shared" si="13"/>
        <v>0</v>
      </c>
      <c r="BK225" s="276"/>
      <c r="BX225" s="332" t="str">
        <f t="shared" si="14"/>
        <v>Tournesol</v>
      </c>
      <c r="BY225" s="333">
        <f t="array" ref="BY225">SUM((IF(QualitéAlimentsChevreau_0_3_mois=BONNE,VLOOKUP("Tournesol",AlimentsRationCaprinsMâles,5,FALSE),0)+(IF(QualitéAlimentsChevrette_0_3_mois=BONNE,VLOOKUP("Tournesol",AlimentsRationCaprinsFemelles,5,FALSE),0)+(IF(QualitéAlimentsChevreau_3_6_mois=BONNE,VLOOKUP("Tournesol",AlimentsRationCaprinsMâles,4,FALSE),0)+(IF(QualitéAlimentsChevrette_3_6_mois=BONNE,VLOOKUP("Tournesol",AlimentsRationCaprinsFemelles,4,FALSE),0)+(IF(QualitéAlimentsJeuneBouc=BONNE,VLOOKUP("Tournesol",AlimentsRationCaprinsMâles,3,FALSE),0)+(IF(QualitéAlimentsJeuneChèvre=BONNE,VLOOKUP("Tournesol",AlimentsRationCaprinsFemelles,3,FALSE),0)+(IF(QualitéAlimentsBouc=BONNE,VLOOKUP("Tournesol",AlimentsRationCaprinsMâles,2,FALSE),0)+(IF(QualitéAlimentsChèvre=BONNE,VLOOKUP("Tournesol",AlimentsRationCaprinsFemelles,2,FALSE),0))))))))))</f>
        <v>0</v>
      </c>
      <c r="BZ225" s="333">
        <f t="array" ref="BZ225">SUM((IF(QualitéAlimentsChevreau_0_3_mois=MOYENNE,VLOOKUP("Tournesol",AlimentsRationCaprinsMâles,5,FALSE),0)+(IF(QualitéAlimentsChevrette_0_3_mois=MOYENNE,VLOOKUP("Tournesol",AlimentsRationCaprinsFemelles,5,FALSE),0)+(IF(QualitéAlimentsChevreau_3_6_mois=MOYENNE,VLOOKUP("Tournesol",AlimentsRationCaprinsMâles,4,FALSE),0)+(IF(QualitéAlimentsChevrette_3_6_mois=MOYENNE,VLOOKUP("Tournesol",AlimentsRationCaprinsFemelles,4,FALSE),0)+(IF(QualitéAlimentsJeuneBouc=MOYENNE,VLOOKUP("Tournesol",AlimentsRationCaprinsMâles,3,FALSE),0)+(IF(QualitéAlimentsJeuneChèvre=MOYENNE,VLOOKUP("Tournesol",AlimentsRationCaprinsFemelles,3,FALSE),0)+(IF(QualitéAlimentsBouc=MOYENNE,VLOOKUP("Tournesol",AlimentsRationCaprinsMâles,2,FALSE),0)+(IF(QualitéAlimentsChèvre=MOYENNE,VLOOKUP("Tournesol",AlimentsRationCaprinsFemelles,2,FALSE),0))))))))))</f>
        <v>0</v>
      </c>
      <c r="CA225" s="333">
        <f t="array" ref="CA225">SUM((IF(QualitéAlimentsChevreau_0_3_mois=MAUVAISE,VLOOKUP("Tournesol",AlimentsRationCaprinsMâles,5,FALSE),0)+(IF(QualitéAlimentsChevrette_0_3_mois=MAUVAISE,VLOOKUP("Tournesol",AlimentsRationCaprinsFemelles,5,FALSE),0)+(IF(QualitéAlimentsChevreau_3_6_mois=MAUVAISE,VLOOKUP("Tournesol",AlimentsRationCaprinsMâles,4,FALSE),0)+(IF(QualitéAlimentsChevrette_3_6_mois=MAUVAISE,VLOOKUP("Tournesol",AlimentsRationCaprinsFemelles,4,FALSE),0)+(IF(QualitéAlimentsJeuneBouc=MAUVAISE,VLOOKUP("Tournesol",AlimentsRationCaprinsMâles,3,FALSE),0)+(IF(QualitéAlimentsJeuneChèvre=MAUVAISE,VLOOKUP("Tournesol",AlimentsRationCaprinsFemelles,3,FALSE),0)+(IF(QualitéAlimentsBouc=MAUVAISE,VLOOKUP("Tournesol",AlimentsRationCaprinsMâles,2,FALSE),0)+(IF(QualitéAlimentsChèvre=MAUVAISE,VLOOKUP("Tournesol",AlimentsRationCaprinsFemelles,2,FALSE),0))))))))))</f>
        <v>0</v>
      </c>
      <c r="CB225" s="277"/>
      <c r="CC225" s="277"/>
      <c r="CD225" s="295"/>
      <c r="CE225" s="295"/>
      <c r="CF225" s="295"/>
      <c r="CG225" s="295"/>
      <c r="CH225" s="295"/>
    </row>
    <row r="226" spans="1:86" ht="12.75" customHeight="1" x14ac:dyDescent="0.2">
      <c r="A226" s="276"/>
      <c r="B226" s="276"/>
      <c r="BB226" s="332" t="s">
        <v>47</v>
      </c>
      <c r="BC226" s="333">
        <f t="array" ref="BC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36 et plus],MATCH(ChoixRationBovins&amp;$BB226,Règles_bovins[Ration]&amp;Règles_bovins[Aliment],0)),0),0)*IF(ChoixBovinsPréHiver=OUI,TotalTaureauxRacesLaitières,TotalTaureaux*NbreJoursNourrirBovins))</f>
        <v>0</v>
      </c>
      <c r="BD226" s="333">
        <f t="array" ref="BD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24-36],MATCH(ChoixRationBovins&amp;$BB226,Règles_bovins[Ration]&amp;Règles_bovins[Aliment],0)),0),0)*IF(ChoixBovinsPréHiver=OUI,TotalTaurillon_24_36_RacesLaitières,TotalBovinsMâles_24_36mois*NbreJoursNourrirBovins))</f>
        <v>0</v>
      </c>
      <c r="BE226" s="333">
        <f t="array" ref="BE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18-24],MATCH(ChoixRationBovins&amp;$BB226,Règles_bovins[Ration]&amp;Règles_bovins[Aliment],0)),0),0)*IF(ChoixBovinsPréHiver=OUI,TotalTaurillon_18_24_RacesLaitières,TotalBovinsMâles_18_24mois*NbreJoursNourrirBovins))</f>
        <v>0</v>
      </c>
      <c r="BF226" s="333">
        <f t="array" ref="BF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12-18],MATCH(ChoixRationBovins&amp;$BB226,Règles_bovins[Ration]&amp;Règles_bovins[Aliment],0)),0),0)*IF(ChoixBovinsPréHiver=OUI,animaux!D49,TotalBovinsMâles_12_18mois*NbreJoursNourrirBovins))</f>
        <v>0</v>
      </c>
      <c r="BG226" s="333">
        <f t="array" ref="BG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6-12],MATCH(ChoixRationBovins&amp;$BB226,Règles_bovins[Ration]&amp;Règles_bovins[Aliment],0)),0),0)*IF(ChoixBovinsPréHiver=OUI,TotalVeauMâle_6_12_RacesLaitières,TotalBovinsMâles_6_12mois*NbreJoursNourrirBovins))</f>
        <v>0</v>
      </c>
      <c r="BH226" s="333">
        <f t="array" ref="BH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3-6],MATCH(ChoixRationBovins&amp;$BB226,Règles_bovins[Ration]&amp;Règles_bovins[Aliment],0)),0),0)*IF(ChoixBovinsPréHiver=OUI,TotalVeauMâle_3_6_RacesLaitières,TotalBovinsMâles_3_6mois*NbreJoursNourrirBovins))</f>
        <v>0</v>
      </c>
      <c r="BI226" s="333">
        <f t="array" ref="BI226">IF(Ration_complète_bovins[somme]&gt;0,0,IFERROR(IF(OR(AND(INDEX(Règles_bovins[Specificite],MATCH(ChoixRationBovins&amp;$BB226,Règles_bovins[Ration]&amp;Règles_bovins[Aliment],0))="s1",IF($BB226=Spécificité1Bovins,1)),
AND(INDEX(Règles_bovins[Specificite],MATCH(ChoixRationBovins&amp;$BB226,Règles_bovins[Ration]&amp;Règles_bovins[Aliment],0))="s2",IF($BB226=Spécificité2Bovins,1)),
INDEX(Règles_bovins[Specificite],MATCH(ChoixRationBovins&amp;$BB226,Règles_bovins[Ration]&amp;Règles_bovins[Aliment],0))="c"),
INDEX(Règles_bovins[Valeur 0-3],MATCH(ChoixRationBovins&amp;$BB226,Règles_bovins[Ration]&amp;Règles_bovins[Aliment],0)),0),0)*IF(ChoixBovinsPréHiver=OUI,TotalVeauMâle_0_3_RacesLaitières,TotalBovinsMâles_0_3mois*NbreJoursNourrirBovins))</f>
        <v>0</v>
      </c>
      <c r="BJ226" s="334">
        <f t="shared" si="13"/>
        <v>0</v>
      </c>
      <c r="BK226" s="276"/>
      <c r="BX226" s="332" t="str">
        <f t="shared" si="14"/>
        <v>Tourteau de colza</v>
      </c>
      <c r="BY226" s="333">
        <f t="array" ref="BY226">SUM((IF(QualitéAlimentsChevreau_0_3_mois=BONNE,VLOOKUP("Tourteau de colza",AlimentsRationCaprinsMâles,5,FALSE),0)+(IF(QualitéAlimentsChevrette_0_3_mois=BONNE,VLOOKUP("Tourteau de colza",AlimentsRationCaprinsFemelles,5,FALSE),0)+(IF(QualitéAlimentsChevreau_3_6_mois=BONNE,VLOOKUP("Tourteau de colza",AlimentsRationCaprinsMâles,4,FALSE),0)+(IF(QualitéAlimentsChevrette_3_6_mois=BONNE,VLOOKUP("Tourteau de colza",AlimentsRationCaprinsFemelles,4,FALSE),0)+(IF(QualitéAlimentsJeuneBouc=BONNE,VLOOKUP("Tourteau de colza",AlimentsRationCaprinsMâles,3,FALSE),0)+(IF(QualitéAlimentsJeuneChèvre=BONNE,VLOOKUP("Tourteau de colza",AlimentsRationCaprinsFemelles,3,FALSE),0)+(IF(QualitéAlimentsBouc=BONNE,VLOOKUP("Tourteau de colza",AlimentsRationCaprinsMâles,2,FALSE),0)+(IF(QualitéAlimentsChèvre=BONNE,VLOOKUP("Tourteau de colza",AlimentsRationCaprinsFemelles,2,FALSE),0))))))))))</f>
        <v>0</v>
      </c>
      <c r="BZ226" s="333">
        <f t="array" ref="BZ226">SUM((IF(QualitéAlimentsChevreau_0_3_mois=MOYENNE,VLOOKUP("Tourteau de colza",AlimentsRationCaprinsMâles,5,FALSE),0)+(IF(QualitéAlimentsChevrette_0_3_mois=MOYENNE,VLOOKUP("Tourteau de colza",AlimentsRationCaprinsFemelles,5,FALSE),0)+(IF(QualitéAlimentsChevreau_3_6_mois=MOYENNE,VLOOKUP("Tourteau de colza",AlimentsRationCaprinsMâles,4,FALSE),0)+(IF(QualitéAlimentsChevrette_3_6_mois=MOYENNE,VLOOKUP("Tourteau de colza",AlimentsRationCaprinsFemelles,4,FALSE),0)+(IF(QualitéAlimentsJeuneBouc=MOYENNE,VLOOKUP("Tourteau de colza",AlimentsRationCaprinsMâles,3,FALSE),0)+(IF(QualitéAlimentsJeuneChèvre=MOYENNE,VLOOKUP("Tourteau de colza",AlimentsRationCaprinsFemelles,3,FALSE),0)+(IF(QualitéAlimentsBouc=MOYENNE,VLOOKUP("Tourteau de colza",AlimentsRationCaprinsMâles,2,FALSE),0)+(IF(QualitéAlimentsChèvre=MOYENNE,VLOOKUP("Tourteau de colza",AlimentsRationCaprinsFemelles,2,FALSE),0))))))))))</f>
        <v>0</v>
      </c>
      <c r="CA226" s="333">
        <f t="array" ref="CA226">SUM((IF(QualitéAlimentsChevreau_0_3_mois=MAUVAISE,VLOOKUP("Tourteau de colza",AlimentsRationCaprinsMâles,5,FALSE),0)+(IF(QualitéAlimentsChevrette_0_3_mois=MAUVAISE,VLOOKUP("Tourteau de colza",AlimentsRationCaprinsFemelles,5,FALSE),0)+(IF(QualitéAlimentsChevreau_3_6_mois=MAUVAISE,VLOOKUP("Tourteau de colza",AlimentsRationCaprinsMâles,4,FALSE),0)+(IF(QualitéAlimentsChevrette_3_6_mois=MAUVAISE,VLOOKUP("Tourteau de colza",AlimentsRationCaprinsFemelles,4,FALSE),0)+(IF(QualitéAlimentsJeuneBouc=MAUVAISE,VLOOKUP("Tourteau de colza",AlimentsRationCaprinsMâles,3,FALSE),0)+(IF(QualitéAlimentsJeuneChèvre=MAUVAISE,VLOOKUP("Tourteau de colza",AlimentsRationCaprinsFemelles,3,FALSE),0)+(IF(QualitéAlimentsBouc=MAUVAISE,VLOOKUP("Tourteau de colza",AlimentsRationCaprinsMâles,2,FALSE),0)+(IF(QualitéAlimentsChèvre=MAUVAISE,VLOOKUP("Tourteau de colza",AlimentsRationCaprinsFemelles,2,FALSE),0))))))))))</f>
        <v>0</v>
      </c>
      <c r="CB226" s="277"/>
      <c r="CC226" s="277"/>
      <c r="CD226" s="295"/>
      <c r="CE226" s="295"/>
      <c r="CF226" s="295"/>
      <c r="CG226" s="295"/>
      <c r="CH226" s="295"/>
    </row>
    <row r="227" spans="1:86" ht="12.75" customHeight="1" x14ac:dyDescent="0.2">
      <c r="A227" s="276"/>
      <c r="B227" s="276"/>
      <c r="BB227" s="332"/>
      <c r="BC227" s="333">
        <f t="array" ref="BC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36 et plus],MATCH(ChoixRationBovins&amp;$BB227,Règles_bovins[Ration]&amp;Règles_bovins[Aliment],0)),0),0)*IF(ChoixBovinsPréHiver=OUI,TotalTaureauxRacesLaitières,TotalTaureaux*NbreJoursNourrirBovins))</f>
        <v>0</v>
      </c>
      <c r="BD227" s="333">
        <f t="array" ref="BD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24-36],MATCH(ChoixRationBovins&amp;$BB227,Règles_bovins[Ration]&amp;Règles_bovins[Aliment],0)),0),0)*IF(ChoixBovinsPréHiver=OUI,TotalTaurillon_24_36_RacesLaitières,TotalBovinsMâles_24_36mois*NbreJoursNourrirBovins))</f>
        <v>0</v>
      </c>
      <c r="BE227" s="333">
        <f t="array" ref="BE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18-24],MATCH(ChoixRationBovins&amp;$BB227,Règles_bovins[Ration]&amp;Règles_bovins[Aliment],0)),0),0)*IF(ChoixBovinsPréHiver=OUI,TotalTaurillon_18_24_RacesLaitières,TotalBovinsMâles_18_24mois*NbreJoursNourrirBovins))</f>
        <v>0</v>
      </c>
      <c r="BF227" s="333">
        <f t="array" ref="BF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12-18],MATCH(ChoixRationBovins&amp;$BB227,Règles_bovins[Ration]&amp;Règles_bovins[Aliment],0)),0),0)*IF(ChoixBovinsPréHiver=OUI,animaux!D50,TotalBovinsMâles_12_18mois*NbreJoursNourrirBovins))</f>
        <v>0</v>
      </c>
      <c r="BG227" s="333">
        <f t="array" ref="BG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6-12],MATCH(ChoixRationBovins&amp;$BB227,Règles_bovins[Ration]&amp;Règles_bovins[Aliment],0)),0),0)*IF(ChoixBovinsPréHiver=OUI,TotalVeauMâle_6_12_RacesLaitières,TotalBovinsMâles_6_12mois*NbreJoursNourrirBovins))</f>
        <v>0</v>
      </c>
      <c r="BH227" s="333">
        <f t="array" ref="BH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3-6],MATCH(ChoixRationBovins&amp;$BB227,Règles_bovins[Ration]&amp;Règles_bovins[Aliment],0)),0),0)*IF(ChoixBovinsPréHiver=OUI,TotalVeauMâle_3_6_RacesLaitières,TotalBovinsMâles_3_6mois*NbreJoursNourrirBovins))</f>
        <v>0</v>
      </c>
      <c r="BI227" s="333">
        <f t="array" ref="BI227">IF(Ration_complète_bovins[somme]&gt;0,0,IFERROR(IF(OR(AND(INDEX(Règles_bovins[Specificite],MATCH(ChoixRationBovins&amp;$BB227,Règles_bovins[Ration]&amp;Règles_bovins[Aliment],0))="s1",IF($BB227=Spécificité1Bovins,1)),
AND(INDEX(Règles_bovins[Specificite],MATCH(ChoixRationBovins&amp;$BB227,Règles_bovins[Ration]&amp;Règles_bovins[Aliment],0))="s2",IF($BB227=Spécificité2Bovins,1)),
INDEX(Règles_bovins[Specificite],MATCH(ChoixRationBovins&amp;$BB227,Règles_bovins[Ration]&amp;Règles_bovins[Aliment],0))="c"),
INDEX(Règles_bovins[Valeur 0-3],MATCH(ChoixRationBovins&amp;$BB227,Règles_bovins[Ration]&amp;Règles_bovins[Aliment],0)),0),0)*IF(ChoixBovinsPréHiver=OUI,TotalVeauMâle_0_3_RacesLaitières,TotalBovinsMâles_0_3mois*NbreJoursNourrirBovins))</f>
        <v>0</v>
      </c>
      <c r="BJ227" s="334">
        <f t="shared" si="13"/>
        <v>0</v>
      </c>
      <c r="BK227" s="276"/>
      <c r="BX227" s="332" t="str">
        <f t="shared" si="14"/>
        <v>Tourteau de tournesol</v>
      </c>
      <c r="BY227" s="333">
        <f t="array" ref="BY227">SUM((IF(QualitéAlimentsChevreau_0_3_mois=BONNE,VLOOKUP("Tourteau de tournesol",AlimentsRationCaprinsMâles,5,FALSE),0)+(IF(QualitéAlimentsChevrette_0_3_mois=BONNE,VLOOKUP("Tourteau de tournesol",AlimentsRationCaprinsFemelles,5,FALSE),0)+(IF(QualitéAlimentsChevreau_3_6_mois=BONNE,VLOOKUP("Tourteau de tournesol",AlimentsRationCaprinsMâles,4,FALSE),0)+(IF(QualitéAlimentsChevrette_3_6_mois=BONNE,VLOOKUP("Tourteau de tournesol",AlimentsRationCaprinsFemelles,4,FALSE),0)+(IF(QualitéAlimentsJeuneBouc=BONNE,VLOOKUP("Tourteau de tournesol",AlimentsRationCaprinsMâles,3,FALSE),0)+(IF(QualitéAlimentsJeuneChèvre=BONNE,VLOOKUP("Tourteau de tournesol",AlimentsRationCaprinsFemelles,3,FALSE),0)+(IF(QualitéAlimentsBouc=BONNE,VLOOKUP("Tourteau de tournesol",AlimentsRationCaprinsMâles,2,FALSE),0)+(IF(QualitéAlimentsChèvre=BONNE,VLOOKUP("Tourteau de tournesol",AlimentsRationCaprinsFemelles,2,FALSE),0))))))))))</f>
        <v>0</v>
      </c>
      <c r="BZ227" s="333">
        <f t="array" ref="BZ227">SUM((IF(QualitéAlimentsChevreau_0_3_mois=MOYENNE,VLOOKUP("Tourteau de tournesol",AlimentsRationCaprinsMâles,5,FALSE),0)+(IF(QualitéAlimentsChevrette_0_3_mois=MOYENNE,VLOOKUP("Tourteau de tournesol",AlimentsRationCaprinsFemelles,5,FALSE),0)+(IF(QualitéAlimentsChevreau_3_6_mois=MOYENNE,VLOOKUP("Tourteau de tournesol",AlimentsRationCaprinsMâles,4,FALSE),0)+(IF(QualitéAlimentsChevrette_3_6_mois=MOYENNE,VLOOKUP("Tourteau de tournesol",AlimentsRationCaprinsFemelles,4,FALSE),0)+(IF(QualitéAlimentsJeuneBouc=MOYENNE,VLOOKUP("Tourteau de tournesol",AlimentsRationCaprinsMâles,3,FALSE),0)+(IF(QualitéAlimentsJeuneChèvre=MOYENNE,VLOOKUP("Tourteau de tournesol",AlimentsRationCaprinsFemelles,3,FALSE),0)+(IF(QualitéAlimentsBouc=MOYENNE,VLOOKUP("Tourteau de tournesol",AlimentsRationCaprinsMâles,2,FALSE),0)+(IF(QualitéAlimentsChèvre=MOYENNE,VLOOKUP("Tourteau de tournesol",AlimentsRationCaprinsFemelles,2,FALSE),0))))))))))</f>
        <v>0</v>
      </c>
      <c r="CA227" s="333">
        <f t="array" ref="CA227">SUM((IF(QualitéAlimentsChevreau_0_3_mois=MAUVAISE,VLOOKUP("Tourteau de tournesol",AlimentsRationCaprinsMâles,5,FALSE),0)+(IF(QualitéAlimentsChevrette_0_3_mois=MAUVAISE,VLOOKUP("Tourteau de tournesol",AlimentsRationCaprinsFemelles,5,FALSE),0)+(IF(QualitéAlimentsChevreau_3_6_mois=MAUVAISE,VLOOKUP("Tourteau de tournesol",AlimentsRationCaprinsMâles,4,FALSE),0)+(IF(QualitéAlimentsChevrette_3_6_mois=MAUVAISE,VLOOKUP("Tourteau de tournesol",AlimentsRationCaprinsFemelles,4,FALSE),0)+(IF(QualitéAlimentsJeuneBouc=MAUVAISE,VLOOKUP("Tourteau de tournesol",AlimentsRationCaprinsMâles,3,FALSE),0)+(IF(QualitéAlimentsJeuneChèvre=MAUVAISE,VLOOKUP("Tourteau de tournesol",AlimentsRationCaprinsFemelles,3,FALSE),0)+(IF(QualitéAlimentsBouc=MAUVAISE,VLOOKUP("Tourteau de tournesol",AlimentsRationCaprinsMâles,2,FALSE),0)+(IF(QualitéAlimentsChèvre=MAUVAISE,VLOOKUP("Tourteau de tournesol",AlimentsRationCaprinsFemelles,2,FALSE),0))))))))))</f>
        <v>0</v>
      </c>
      <c r="CB227" s="277"/>
      <c r="CC227" s="277"/>
      <c r="CD227" s="295"/>
      <c r="CE227" s="295"/>
      <c r="CF227" s="295"/>
      <c r="CG227" s="295"/>
      <c r="CH227" s="295"/>
    </row>
    <row r="228" spans="1:86" ht="12.75" customHeight="1" x14ac:dyDescent="0.2">
      <c r="A228" s="276"/>
      <c r="B228" s="276"/>
      <c r="BB228" s="332"/>
      <c r="BC228" s="333">
        <f t="array" ref="BC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36 et plus],MATCH(ChoixRationBovins&amp;$BB228,Règles_bovins[Ration]&amp;Règles_bovins[Aliment],0)),0),0)*IF(ChoixBovinsPréHiver=OUI,TotalTaureauxRacesLaitières,TotalTaureaux*NbreJoursNourrirBovins))</f>
        <v>0</v>
      </c>
      <c r="BD228" s="333">
        <f t="array" ref="BD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24-36],MATCH(ChoixRationBovins&amp;$BB228,Règles_bovins[Ration]&amp;Règles_bovins[Aliment],0)),0),0)*IF(ChoixBovinsPréHiver=OUI,TotalTaurillon_24_36_RacesLaitières,TotalBovinsMâles_24_36mois*NbreJoursNourrirBovins))</f>
        <v>0</v>
      </c>
      <c r="BE228" s="333">
        <f t="array" ref="BE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18-24],MATCH(ChoixRationBovins&amp;$BB228,Règles_bovins[Ration]&amp;Règles_bovins[Aliment],0)),0),0)*IF(ChoixBovinsPréHiver=OUI,TotalTaurillon_18_24_RacesLaitières,TotalBovinsMâles_18_24mois*NbreJoursNourrirBovins))</f>
        <v>0</v>
      </c>
      <c r="BF228" s="333">
        <f t="array" ref="BF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12-18],MATCH(ChoixRationBovins&amp;$BB228,Règles_bovins[Ration]&amp;Règles_bovins[Aliment],0)),0),0)*IF(ChoixBovinsPréHiver=OUI,animaux!D51,TotalBovinsMâles_12_18mois*NbreJoursNourrirBovins))</f>
        <v>0</v>
      </c>
      <c r="BG228" s="333">
        <f t="array" ref="BG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6-12],MATCH(ChoixRationBovins&amp;$BB228,Règles_bovins[Ration]&amp;Règles_bovins[Aliment],0)),0),0)*IF(ChoixBovinsPréHiver=OUI,TotalVeauMâle_6_12_RacesLaitières,TotalBovinsMâles_6_12mois*NbreJoursNourrirBovins))</f>
        <v>0</v>
      </c>
      <c r="BH228" s="333">
        <f t="array" ref="BH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3-6],MATCH(ChoixRationBovins&amp;$BB228,Règles_bovins[Ration]&amp;Règles_bovins[Aliment],0)),0),0)*IF(ChoixBovinsPréHiver=OUI,TotalVeauMâle_3_6_RacesLaitières,TotalBovinsMâles_3_6mois*NbreJoursNourrirBovins))</f>
        <v>0</v>
      </c>
      <c r="BI228" s="333">
        <f t="array" ref="BI228">IF(Ration_complète_bovins[somme]&gt;0,0,IFERROR(IF(OR(AND(INDEX(Règles_bovins[Specificite],MATCH(ChoixRationBovins&amp;$BB228,Règles_bovins[Ration]&amp;Règles_bovins[Aliment],0))="s1",IF($BB228=Spécificité1Bovins,1)),
AND(INDEX(Règles_bovins[Specificite],MATCH(ChoixRationBovins&amp;$BB228,Règles_bovins[Ration]&amp;Règles_bovins[Aliment],0))="s2",IF($BB228=Spécificité2Bovins,1)),
INDEX(Règles_bovins[Specificite],MATCH(ChoixRationBovins&amp;$BB228,Règles_bovins[Ration]&amp;Règles_bovins[Aliment],0))="c"),
INDEX(Règles_bovins[Valeur 0-3],MATCH(ChoixRationBovins&amp;$BB228,Règles_bovins[Ration]&amp;Règles_bovins[Aliment],0)),0),0)*IF(ChoixBovinsPréHiver=OUI,TotalVeauMâle_0_3_RacesLaitières,TotalBovinsMâles_0_3mois*NbreJoursNourrirBovins))</f>
        <v>0</v>
      </c>
      <c r="BJ228" s="334">
        <f t="shared" si="13"/>
        <v>0</v>
      </c>
      <c r="BK228" s="276"/>
      <c r="BX228" s="332" t="str">
        <f t="shared" si="14"/>
        <v>Triticale</v>
      </c>
      <c r="BY228" s="333">
        <f t="array" ref="BY228">SUM((IF(QualitéAlimentsChevreau_0_3_mois=BONNE,VLOOKUP("Triticale",AlimentsRationCaprinsMâles,5,FALSE),0)+(IF(QualitéAlimentsChevrette_0_3_mois=BONNE,VLOOKUP("Triticale",AlimentsRationCaprinsFemelles,5,FALSE),0)+(IF(QualitéAlimentsChevreau_3_6_mois=BONNE,VLOOKUP("Triticale",AlimentsRationCaprinsMâles,4,FALSE),0)+(IF(QualitéAlimentsChevrette_3_6_mois=BONNE,VLOOKUP("Triticale",AlimentsRationCaprinsFemelles,4,FALSE),0)+(IF(QualitéAlimentsJeuneBouc=BONNE,VLOOKUP("Triticale",AlimentsRationCaprinsMâles,3,FALSE),0)+(IF(QualitéAlimentsJeuneChèvre=BONNE,VLOOKUP("Triticale",AlimentsRationCaprinsFemelles,3,FALSE),0)+(IF(QualitéAlimentsBouc=BONNE,VLOOKUP("Triticale",AlimentsRationCaprinsMâles,2,FALSE),0)+(IF(QualitéAlimentsChèvre=BONNE,VLOOKUP("Triticale",AlimentsRationCaprinsFemelles,2,FALSE),0))))))))))</f>
        <v>0</v>
      </c>
      <c r="BZ228" s="333">
        <f t="array" ref="BZ228">SUM((IF(QualitéAlimentsChevreau_0_3_mois=MOYENNE,VLOOKUP("Triticale",AlimentsRationCaprinsMâles,5,FALSE),0)+(IF(QualitéAlimentsChevrette_0_3_mois=MOYENNE,VLOOKUP("Triticale",AlimentsRationCaprinsFemelles,5,FALSE),0)+(IF(QualitéAlimentsChevreau_3_6_mois=MOYENNE,VLOOKUP("Triticale",AlimentsRationCaprinsMâles,4,FALSE),0)+(IF(QualitéAlimentsChevrette_3_6_mois=MOYENNE,VLOOKUP("Triticale",AlimentsRationCaprinsFemelles,4,FALSE),0)+(IF(QualitéAlimentsJeuneBouc=MOYENNE,VLOOKUP("Triticale",AlimentsRationCaprinsMâles,3,FALSE),0)+(IF(QualitéAlimentsJeuneChèvre=MOYENNE,VLOOKUP("Triticale",AlimentsRationCaprinsFemelles,3,FALSE),0)+(IF(QualitéAlimentsBouc=MOYENNE,VLOOKUP("Triticale",AlimentsRationCaprinsMâles,2,FALSE),0)+(IF(QualitéAlimentsChèvre=MOYENNE,VLOOKUP("Triticale",AlimentsRationCaprinsFemelles,2,FALSE),0))))))))))</f>
        <v>0</v>
      </c>
      <c r="CA228" s="333">
        <f t="array" ref="CA228">SUM((IF(QualitéAlimentsChevreau_0_3_mois=MAUVAISE,VLOOKUP("Triticale",AlimentsRationCaprinsMâles,5,FALSE),0)+(IF(QualitéAlimentsChevrette_0_3_mois=MAUVAISE,VLOOKUP("Triticale",AlimentsRationCaprinsFemelles,5,FALSE),0)+(IF(QualitéAlimentsChevreau_3_6_mois=MAUVAISE,VLOOKUP("Triticale",AlimentsRationCaprinsMâles,4,FALSE),0)+(IF(QualitéAlimentsChevrette_3_6_mois=MAUVAISE,VLOOKUP("Triticale",AlimentsRationCaprinsFemelles,4,FALSE),0)+(IF(QualitéAlimentsJeuneBouc=MAUVAISE,VLOOKUP("Triticale",AlimentsRationCaprinsMâles,3,FALSE),0)+(IF(QualitéAlimentsJeuneChèvre=MAUVAISE,VLOOKUP("Triticale",AlimentsRationCaprinsFemelles,3,FALSE),0)+(IF(QualitéAlimentsBouc=MAUVAISE,VLOOKUP("Triticale",AlimentsRationCaprinsMâles,2,FALSE),0)+(IF(QualitéAlimentsChèvre=MAUVAISE,VLOOKUP("Triticale",AlimentsRationCaprinsFemelles,2,FALSE),0))))))))))</f>
        <v>0</v>
      </c>
      <c r="CB228" s="294"/>
      <c r="CC228" s="294"/>
      <c r="CD228" s="295"/>
      <c r="CE228" s="295"/>
      <c r="CF228" s="295"/>
      <c r="CG228" s="295"/>
      <c r="CH228" s="295"/>
    </row>
    <row r="229" spans="1:86" ht="12.75" customHeight="1" x14ac:dyDescent="0.2">
      <c r="A229" s="276"/>
      <c r="B229" s="276"/>
      <c r="BB229" s="332"/>
      <c r="BC229" s="333">
        <f t="array" ref="BC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36 et plus],MATCH(ChoixRationBovins&amp;$BB229,Règles_bovins[Ration]&amp;Règles_bovins[Aliment],0)),0),0)*IF(ChoixBovinsPréHiver=OUI,TotalTaureauxRacesLaitières,TotalTaureaux*NbreJoursNourrirBovins))</f>
        <v>0</v>
      </c>
      <c r="BD229" s="333">
        <f t="array" ref="BD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24-36],MATCH(ChoixRationBovins&amp;$BB229,Règles_bovins[Ration]&amp;Règles_bovins[Aliment],0)),0),0)*IF(ChoixBovinsPréHiver=OUI,TotalTaurillon_24_36_RacesLaitières,TotalBovinsMâles_24_36mois*NbreJoursNourrirBovins))</f>
        <v>0</v>
      </c>
      <c r="BE229" s="333">
        <f t="array" ref="BE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18-24],MATCH(ChoixRationBovins&amp;$BB229,Règles_bovins[Ration]&amp;Règles_bovins[Aliment],0)),0),0)*IF(ChoixBovinsPréHiver=OUI,TotalTaurillon_18_24_RacesLaitières,TotalBovinsMâles_18_24mois*NbreJoursNourrirBovins))</f>
        <v>0</v>
      </c>
      <c r="BF229" s="333">
        <f t="array" ref="BF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12-18],MATCH(ChoixRationBovins&amp;$BB229,Règles_bovins[Ration]&amp;Règles_bovins[Aliment],0)),0),0)*IF(ChoixBovinsPréHiver=OUI,animaux!D52,TotalBovinsMâles_12_18mois*NbreJoursNourrirBovins))</f>
        <v>0</v>
      </c>
      <c r="BG229" s="333">
        <f t="array" ref="BG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6-12],MATCH(ChoixRationBovins&amp;$BB229,Règles_bovins[Ration]&amp;Règles_bovins[Aliment],0)),0),0)*IF(ChoixBovinsPréHiver=OUI,TotalVeauMâle_6_12_RacesLaitières,TotalBovinsMâles_6_12mois*NbreJoursNourrirBovins))</f>
        <v>0</v>
      </c>
      <c r="BH229" s="333">
        <f t="array" ref="BH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3-6],MATCH(ChoixRationBovins&amp;$BB229,Règles_bovins[Ration]&amp;Règles_bovins[Aliment],0)),0),0)*IF(ChoixBovinsPréHiver=OUI,TotalVeauMâle_3_6_RacesLaitières,TotalBovinsMâles_3_6mois*NbreJoursNourrirBovins))</f>
        <v>0</v>
      </c>
      <c r="BI229" s="333">
        <f t="array" ref="BI229">IF(Ration_complète_bovins[somme]&gt;0,0,IFERROR(IF(OR(AND(INDEX(Règles_bovins[Specificite],MATCH(ChoixRationBovins&amp;$BB229,Règles_bovins[Ration]&amp;Règles_bovins[Aliment],0))="s1",IF($BB229=Spécificité1Bovins,1)),
AND(INDEX(Règles_bovins[Specificite],MATCH(ChoixRationBovins&amp;$BB229,Règles_bovins[Ration]&amp;Règles_bovins[Aliment],0))="s2",IF($BB229=Spécificité2Bovins,1)),
INDEX(Règles_bovins[Specificite],MATCH(ChoixRationBovins&amp;$BB229,Règles_bovins[Ration]&amp;Règles_bovins[Aliment],0))="c"),
INDEX(Règles_bovins[Valeur 0-3],MATCH(ChoixRationBovins&amp;$BB229,Règles_bovins[Ration]&amp;Règles_bovins[Aliment],0)),0),0)*IF(ChoixBovinsPréHiver=OUI,TotalVeauMâle_0_3_RacesLaitières,TotalBovinsMâles_0_3mois*NbreJoursNourrirBovins))</f>
        <v>0</v>
      </c>
      <c r="BJ229" s="334">
        <f t="shared" si="13"/>
        <v>0</v>
      </c>
      <c r="BK229" s="276"/>
      <c r="BX229" s="332">
        <f t="shared" si="14"/>
        <v>0</v>
      </c>
      <c r="BY229" s="333"/>
      <c r="BZ229" s="333"/>
      <c r="CA229" s="333"/>
      <c r="CB229" s="277"/>
      <c r="CC229" s="277"/>
      <c r="CD229" s="295"/>
      <c r="CE229" s="295"/>
      <c r="CF229" s="295"/>
      <c r="CG229" s="295"/>
      <c r="CH229" s="295"/>
    </row>
    <row r="230" spans="1:86" ht="12.75" customHeight="1" x14ac:dyDescent="0.2">
      <c r="A230" s="276"/>
      <c r="B230" s="276"/>
      <c r="BB230" s="332"/>
      <c r="BC230" s="333">
        <f t="array" ref="BC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36 et plus],MATCH(ChoixRationBovins&amp;$BB230,Règles_bovins[Ration]&amp;Règles_bovins[Aliment],0)),0),0)*IF(ChoixBovinsPréHiver=OUI,TotalTaureauxRacesLaitières,TotalTaureaux*NbreJoursNourrirBovins))</f>
        <v>0</v>
      </c>
      <c r="BD230" s="333">
        <f t="array" ref="BD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24-36],MATCH(ChoixRationBovins&amp;$BB230,Règles_bovins[Ration]&amp;Règles_bovins[Aliment],0)),0),0)*IF(ChoixBovinsPréHiver=OUI,TotalTaurillon_24_36_RacesLaitières,TotalBovinsMâles_24_36mois*NbreJoursNourrirBovins))</f>
        <v>0</v>
      </c>
      <c r="BE230" s="333">
        <f t="array" ref="BE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18-24],MATCH(ChoixRationBovins&amp;$BB230,Règles_bovins[Ration]&amp;Règles_bovins[Aliment],0)),0),0)*IF(ChoixBovinsPréHiver=OUI,TotalTaurillon_18_24_RacesLaitières,TotalBovinsMâles_18_24mois*NbreJoursNourrirBovins))</f>
        <v>0</v>
      </c>
      <c r="BF230" s="333">
        <f t="array" ref="BF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12-18],MATCH(ChoixRationBovins&amp;$BB230,Règles_bovins[Ration]&amp;Règles_bovins[Aliment],0)),0),0)*IF(ChoixBovinsPréHiver=OUI,animaux!D53,TotalBovinsMâles_12_18mois*NbreJoursNourrirBovins))</f>
        <v>0</v>
      </c>
      <c r="BG230" s="333">
        <f t="array" ref="BG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6-12],MATCH(ChoixRationBovins&amp;$BB230,Règles_bovins[Ration]&amp;Règles_bovins[Aliment],0)),0),0)*IF(ChoixBovinsPréHiver=OUI,TotalVeauMâle_6_12_RacesLaitières,TotalBovinsMâles_6_12mois*NbreJoursNourrirBovins))</f>
        <v>0</v>
      </c>
      <c r="BH230" s="333">
        <f t="array" ref="BH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3-6],MATCH(ChoixRationBovins&amp;$BB230,Règles_bovins[Ration]&amp;Règles_bovins[Aliment],0)),0),0)*IF(ChoixBovinsPréHiver=OUI,TotalVeauMâle_3_6_RacesLaitières,TotalBovinsMâles_3_6mois*NbreJoursNourrirBovins))</f>
        <v>0</v>
      </c>
      <c r="BI230" s="333">
        <f t="array" ref="BI230">IF(Ration_complète_bovins[somme]&gt;0,0,IFERROR(IF(OR(AND(INDEX(Règles_bovins[Specificite],MATCH(ChoixRationBovins&amp;$BB230,Règles_bovins[Ration]&amp;Règles_bovins[Aliment],0))="s1",IF($BB230=Spécificité1Bovins,1)),
AND(INDEX(Règles_bovins[Specificite],MATCH(ChoixRationBovins&amp;$BB230,Règles_bovins[Ration]&amp;Règles_bovins[Aliment],0))="s2",IF($BB230=Spécificité2Bovins,1)),
INDEX(Règles_bovins[Specificite],MATCH(ChoixRationBovins&amp;$BB230,Règles_bovins[Ration]&amp;Règles_bovins[Aliment],0))="c"),
INDEX(Règles_bovins[Valeur 0-3],MATCH(ChoixRationBovins&amp;$BB230,Règles_bovins[Ration]&amp;Règles_bovins[Aliment],0)),0),0)*IF(ChoixBovinsPréHiver=OUI,TotalVeauMâle_0_3_RacesLaitières,TotalBovinsMâles_0_3mois*NbreJoursNourrirBovins))</f>
        <v>0</v>
      </c>
      <c r="BJ230" s="334">
        <f t="shared" si="13"/>
        <v>0</v>
      </c>
      <c r="BK230" s="276"/>
      <c r="BX230" s="332">
        <f t="shared" si="14"/>
        <v>0</v>
      </c>
      <c r="BY230" s="333"/>
      <c r="BZ230" s="333"/>
      <c r="CA230" s="333"/>
      <c r="CB230" s="277"/>
      <c r="CC230" s="277"/>
      <c r="CD230" s="295"/>
      <c r="CE230" s="295"/>
      <c r="CF230" s="295"/>
      <c r="CG230" s="295"/>
      <c r="CH230" s="295"/>
    </row>
    <row r="231" spans="1:86" ht="12.75" customHeight="1" x14ac:dyDescent="0.2">
      <c r="A231" s="276"/>
      <c r="B231" s="276"/>
      <c r="BB231" s="332"/>
      <c r="BC231" s="333">
        <f t="array" ref="BC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36 et plus],MATCH(ChoixRationBovins&amp;$BB231,Règles_bovins[Ration]&amp;Règles_bovins[Aliment],0)),0),0)*IF(ChoixBovinsPréHiver=OUI,TotalTaureauxRacesLaitières,TotalTaureaux*NbreJoursNourrirBovins))</f>
        <v>0</v>
      </c>
      <c r="BD231" s="333">
        <f t="array" ref="BD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24-36],MATCH(ChoixRationBovins&amp;$BB231,Règles_bovins[Ration]&amp;Règles_bovins[Aliment],0)),0),0)*IF(ChoixBovinsPréHiver=OUI,TotalTaurillon_24_36_RacesLaitières,TotalBovinsMâles_24_36mois*NbreJoursNourrirBovins))</f>
        <v>0</v>
      </c>
      <c r="BE231" s="333">
        <f t="array" ref="BE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18-24],MATCH(ChoixRationBovins&amp;$BB231,Règles_bovins[Ration]&amp;Règles_bovins[Aliment],0)),0),0)*IF(ChoixBovinsPréHiver=OUI,TotalTaurillon_18_24_RacesLaitières,TotalBovinsMâles_18_24mois*NbreJoursNourrirBovins))</f>
        <v>0</v>
      </c>
      <c r="BF231" s="333">
        <f t="array" ref="BF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12-18],MATCH(ChoixRationBovins&amp;$BB231,Règles_bovins[Ration]&amp;Règles_bovins[Aliment],0)),0),0)*IF(ChoixBovinsPréHiver=OUI,animaux!D54,TotalBovinsMâles_12_18mois*NbreJoursNourrirBovins))</f>
        <v>0</v>
      </c>
      <c r="BG231" s="333">
        <f t="array" ref="BG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6-12],MATCH(ChoixRationBovins&amp;$BB231,Règles_bovins[Ration]&amp;Règles_bovins[Aliment],0)),0),0)*IF(ChoixBovinsPréHiver=OUI,TotalVeauMâle_6_12_RacesLaitières,TotalBovinsMâles_6_12mois*NbreJoursNourrirBovins))</f>
        <v>0</v>
      </c>
      <c r="BH231" s="333">
        <f t="array" ref="BH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3-6],MATCH(ChoixRationBovins&amp;$BB231,Règles_bovins[Ration]&amp;Règles_bovins[Aliment],0)),0),0)*IF(ChoixBovinsPréHiver=OUI,TotalVeauMâle_3_6_RacesLaitières,TotalBovinsMâles_3_6mois*NbreJoursNourrirBovins))</f>
        <v>0</v>
      </c>
      <c r="BI231" s="333">
        <f t="array" ref="BI231">IF(Ration_complète_bovins[somme]&gt;0,0,IFERROR(IF(OR(AND(INDEX(Règles_bovins[Specificite],MATCH(ChoixRationBovins&amp;$BB231,Règles_bovins[Ration]&amp;Règles_bovins[Aliment],0))="s1",IF($BB231=Spécificité1Bovins,1)),
AND(INDEX(Règles_bovins[Specificite],MATCH(ChoixRationBovins&amp;$BB231,Règles_bovins[Ration]&amp;Règles_bovins[Aliment],0))="s2",IF($BB231=Spécificité2Bovins,1)),
INDEX(Règles_bovins[Specificite],MATCH(ChoixRationBovins&amp;$BB231,Règles_bovins[Ration]&amp;Règles_bovins[Aliment],0))="c"),
INDEX(Règles_bovins[Valeur 0-3],MATCH(ChoixRationBovins&amp;$BB231,Règles_bovins[Ration]&amp;Règles_bovins[Aliment],0)),0),0)*IF(ChoixBovinsPréHiver=OUI,TotalVeauMâle_0_3_RacesLaitières,TotalBovinsMâles_0_3mois*NbreJoursNourrirBovins))</f>
        <v>0</v>
      </c>
      <c r="BJ231" s="334">
        <f t="shared" si="13"/>
        <v>0</v>
      </c>
      <c r="BK231" s="276"/>
      <c r="BX231" s="332">
        <f t="shared" si="14"/>
        <v>0</v>
      </c>
      <c r="BY231" s="333"/>
      <c r="BZ231" s="333"/>
      <c r="CA231" s="333"/>
      <c r="CB231" s="277"/>
      <c r="CC231" s="277"/>
      <c r="CD231" s="295"/>
      <c r="CE231" s="295"/>
      <c r="CF231" s="295"/>
      <c r="CG231" s="295"/>
    </row>
    <row r="232" spans="1:86" ht="12.75" customHeight="1" x14ac:dyDescent="0.2">
      <c r="A232" s="276"/>
      <c r="B232" s="276"/>
      <c r="BB232" s="332"/>
      <c r="BC232" s="333">
        <f t="array" ref="BC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36 et plus],MATCH(ChoixRationBovins&amp;$BB232,Règles_bovins[Ration]&amp;Règles_bovins[Aliment],0)),0),0)*IF(ChoixBovinsPréHiver=OUI,TotalTaureauxRacesLaitières,TotalTaureaux*NbreJoursNourrirBovins))</f>
        <v>0</v>
      </c>
      <c r="BD232" s="333">
        <f t="array" ref="BD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24-36],MATCH(ChoixRationBovins&amp;$BB232,Règles_bovins[Ration]&amp;Règles_bovins[Aliment],0)),0),0)*IF(ChoixBovinsPréHiver=OUI,TotalTaurillon_24_36_RacesLaitières,TotalBovinsMâles_24_36mois*NbreJoursNourrirBovins))</f>
        <v>0</v>
      </c>
      <c r="BE232" s="333">
        <f t="array" ref="BE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18-24],MATCH(ChoixRationBovins&amp;$BB232,Règles_bovins[Ration]&amp;Règles_bovins[Aliment],0)),0),0)*IF(ChoixBovinsPréHiver=OUI,TotalTaurillon_18_24_RacesLaitières,TotalBovinsMâles_18_24mois*NbreJoursNourrirBovins))</f>
        <v>0</v>
      </c>
      <c r="BF232" s="333">
        <f t="array" ref="BF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12-18],MATCH(ChoixRationBovins&amp;$BB232,Règles_bovins[Ration]&amp;Règles_bovins[Aliment],0)),0),0)*IF(ChoixBovinsPréHiver=OUI,animaux!D58,TotalBovinsMâles_12_18mois*NbreJoursNourrirBovins))</f>
        <v>0</v>
      </c>
      <c r="BG232" s="333">
        <f t="array" ref="BG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6-12],MATCH(ChoixRationBovins&amp;$BB232,Règles_bovins[Ration]&amp;Règles_bovins[Aliment],0)),0),0)*IF(ChoixBovinsPréHiver=OUI,TotalVeauMâle_6_12_RacesLaitières,TotalBovinsMâles_6_12mois*NbreJoursNourrirBovins))</f>
        <v>0</v>
      </c>
      <c r="BH232" s="333">
        <f t="array" ref="BH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3-6],MATCH(ChoixRationBovins&amp;$BB232,Règles_bovins[Ration]&amp;Règles_bovins[Aliment],0)),0),0)*IF(ChoixBovinsPréHiver=OUI,TotalVeauMâle_3_6_RacesLaitières,TotalBovinsMâles_3_6mois*NbreJoursNourrirBovins))</f>
        <v>0</v>
      </c>
      <c r="BI232" s="333">
        <f t="array" ref="BI232">IF(Ration_complète_bovins[somme]&gt;0,0,IFERROR(IF(OR(AND(INDEX(Règles_bovins[Specificite],MATCH(ChoixRationBovins&amp;$BB232,Règles_bovins[Ration]&amp;Règles_bovins[Aliment],0))="s1",IF($BB232=Spécificité1Bovins,1)),
AND(INDEX(Règles_bovins[Specificite],MATCH(ChoixRationBovins&amp;$BB232,Règles_bovins[Ration]&amp;Règles_bovins[Aliment],0))="s2",IF($BB232=Spécificité2Bovins,1)),
INDEX(Règles_bovins[Specificite],MATCH(ChoixRationBovins&amp;$BB232,Règles_bovins[Ration]&amp;Règles_bovins[Aliment],0))="c"),
INDEX(Règles_bovins[Valeur 0-3],MATCH(ChoixRationBovins&amp;$BB232,Règles_bovins[Ration]&amp;Règles_bovins[Aliment],0)),0),0)*IF(ChoixBovinsPréHiver=OUI,TotalVeauMâle_0_3_RacesLaitières,TotalBovinsMâles_0_3mois*NbreJoursNourrirBovins))</f>
        <v>0</v>
      </c>
      <c r="BJ232" s="334">
        <f t="shared" si="13"/>
        <v>0</v>
      </c>
      <c r="BK232" s="276"/>
      <c r="BX232" s="332"/>
      <c r="BY232" s="333"/>
      <c r="BZ232" s="333"/>
      <c r="CA232" s="333"/>
      <c r="CB232" s="277"/>
      <c r="CC232" s="277"/>
      <c r="CD232" s="295"/>
      <c r="CE232" s="295"/>
      <c r="CF232" s="295"/>
      <c r="CG232" s="295"/>
    </row>
    <row r="233" spans="1:86" ht="12.75" customHeight="1" x14ac:dyDescent="0.2">
      <c r="A233" s="276"/>
      <c r="B233" s="276"/>
      <c r="BC233" s="307"/>
      <c r="BD233" s="307"/>
      <c r="BE233" s="307"/>
      <c r="BF233" s="307"/>
      <c r="BG233" s="307"/>
      <c r="BH233" s="307"/>
      <c r="BI233" s="307"/>
      <c r="BJ233" s="313"/>
      <c r="BK233" s="276"/>
      <c r="BX233" s="332"/>
      <c r="BY233" s="333"/>
      <c r="BZ233" s="333"/>
      <c r="CA233" s="333"/>
      <c r="CB233" s="277"/>
      <c r="CC233" s="277"/>
      <c r="CD233" s="295"/>
      <c r="CE233" s="295"/>
      <c r="CF233" s="295"/>
      <c r="CG233" s="295"/>
    </row>
    <row r="234" spans="1:86" ht="12.75" customHeight="1" x14ac:dyDescent="0.2">
      <c r="A234" s="276"/>
      <c r="B234" s="276"/>
      <c r="BB234" s="229" t="s">
        <v>880</v>
      </c>
      <c r="BC234" s="229"/>
      <c r="BD234" s="229"/>
      <c r="BE234" s="229"/>
      <c r="BF234" s="229"/>
      <c r="BG234" s="229"/>
      <c r="BH234" s="229"/>
      <c r="BI234" s="229"/>
      <c r="BJ234" s="229"/>
      <c r="BK234" s="276"/>
      <c r="BX234" s="332"/>
      <c r="BY234" s="333"/>
      <c r="BZ234" s="333"/>
      <c r="CA234" s="333"/>
      <c r="CB234" s="277"/>
      <c r="CC234" s="277"/>
      <c r="CD234" s="295"/>
      <c r="CE234" s="295"/>
      <c r="CF234" s="295"/>
      <c r="CG234" s="295"/>
    </row>
    <row r="235" spans="1:86" ht="12.75" customHeight="1" x14ac:dyDescent="0.2">
      <c r="A235" s="276"/>
      <c r="B235" s="276"/>
      <c r="BB235" s="331" t="s">
        <v>734</v>
      </c>
      <c r="BC235" s="331" t="s">
        <v>727</v>
      </c>
      <c r="BD235" s="331" t="s">
        <v>726</v>
      </c>
      <c r="BE235" s="331" t="s">
        <v>725</v>
      </c>
      <c r="BF235" s="331" t="s">
        <v>724</v>
      </c>
      <c r="BG235" s="331" t="s">
        <v>723</v>
      </c>
      <c r="BH235" s="331" t="s">
        <v>722</v>
      </c>
      <c r="BI235" s="331" t="s">
        <v>721</v>
      </c>
      <c r="BJ235" s="331" t="s">
        <v>728</v>
      </c>
      <c r="BK235" s="276"/>
      <c r="BX235" s="277"/>
      <c r="BY235" s="277"/>
      <c r="BZ235" s="277"/>
      <c r="CA235" s="277"/>
      <c r="CB235" s="277"/>
      <c r="CC235" s="277"/>
      <c r="CD235" s="295"/>
      <c r="CE235" s="295"/>
      <c r="CF235" s="295"/>
      <c r="CG235" s="295"/>
      <c r="CH235" s="295"/>
    </row>
    <row r="236" spans="1:86" ht="12.75" customHeight="1" x14ac:dyDescent="0.2">
      <c r="A236" s="276"/>
      <c r="B236" s="276"/>
      <c r="BB236" s="332" t="str">
        <f>BB194</f>
        <v>Avoine</v>
      </c>
      <c r="BC236" s="333">
        <f t="array" ref="BC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36 et plus],MATCH(ChoixRationBovins&amp;$BB236,Règles_bovins[Ration]&amp;Règles_bovins[Aliment],0)),0),0)*IF(ChoixBovinsPréHiver=OUI,TotalVachesRacesLaitières,TotalVaches*NbreJoursNourrirBovins))</f>
        <v>0</v>
      </c>
      <c r="BD236" s="333">
        <f t="array" ref="BD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24-36],MATCH(ChoixRationBovins&amp;$BB236,Règles_bovins[Ration]&amp;Règles_bovins[Aliment],0)),0),0)*IF(ChoixBovinsPréHiver=OUI,TotalGénisse_24_36_RacesLaitières,TotalBovinsFemelles_24_36mois*NbreJoursNourrirBovins))</f>
        <v>0</v>
      </c>
      <c r="BE236" s="333">
        <f t="array" ref="BE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18-24],MATCH(ChoixRationBovins&amp;$BB236,Règles_bovins[Ration]&amp;Règles_bovins[Aliment],0)),0),0)*IF(ChoixBovinsPréHiver=OUI,TotalGénisse_18_24_RacesLaitières,TotalBovinsFemelles_18_24mois*NbreJoursNourrirBovins))</f>
        <v>0</v>
      </c>
      <c r="BF236" s="333">
        <f t="array" ref="BF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12-18],MATCH(ChoixRationBovins&amp;$BB236,Règles_bovins[Ration]&amp;Règles_bovins[Aliment],0)),0),0)*IF(ChoixBovinsPréHiver=OUI,TotalGénisse_12_18_RacesLaitières,TotalBovinsFemelles_12_18mois*NbreJoursNourrirBovins))</f>
        <v>0</v>
      </c>
      <c r="BG236" s="333">
        <f t="array" ref="BG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6-12],MATCH(ChoixRationBovins&amp;$BB236,Règles_bovins[Ration]&amp;Règles_bovins[Aliment],0)),0),0)*IF(ChoixBovinsPréHiver=OUI,TotalVeauFemelle_6_12_RacesLaitières,TotalBovinsFemelles_6_12mois*NbreJoursNourrirBovins))</f>
        <v>0</v>
      </c>
      <c r="BH236" s="333">
        <f t="array" ref="BH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3-6],MATCH(ChoixRationBovins&amp;$BB236,Règles_bovins[Ration]&amp;Règles_bovins[Aliment],0)),0),0)*IF(ChoixBovinsPréHiver=OUI,TotalVeauFemelle_3_6_RacesLaitières,TotalBovinsFemelles_3_6mois*NbreJoursNourrirBovins))</f>
        <v>0</v>
      </c>
      <c r="BI236" s="333">
        <f t="array" ref="BI236">IF(Ration_complète_bovins[somme]&gt;0,0,IFERROR(IF(OR(AND(INDEX(Règles_bovins[Specificite],MATCH(ChoixRationBovins&amp;$BB236,Règles_bovins[Ration]&amp;Règles_bovins[Aliment],0))="s1",IF($BB236=Spécificité1Bovins,1)),
AND(INDEX(Règles_bovins[Specificite],MATCH(ChoixRationBovins&amp;$BB236,Règles_bovins[Ration]&amp;Règles_bovins[Aliment],0))="s2",IF($BB236=Spécificité2Bovins,1)),
INDEX(Règles_bovins[Specificite],MATCH(ChoixRationBovins&amp;$BB236,Règles_bovins[Ration]&amp;Règles_bovins[Aliment],0))="c"),
INDEX(Règles_bovins[Valeur 0-3],MATCH(ChoixRationBovins&amp;$BB236,Règles_bovins[Ration]&amp;Règles_bovins[Aliment],0)),0),0)*IF(ChoixBovinsPréHiver=OUI,TotalVeauFemelle_0_3_RacesLaitières,TotalBovinsFemelles_0_3mois*NbreJoursNourrirBovins))</f>
        <v>0</v>
      </c>
      <c r="BJ236" s="334">
        <f t="shared" ref="BJ236:BJ274" si="15">SUM($BC236:$BI236)</f>
        <v>0</v>
      </c>
      <c r="BK236" s="276"/>
      <c r="BX236" s="277"/>
      <c r="BY236" s="277"/>
      <c r="BZ236" s="277"/>
      <c r="CA236" s="277"/>
      <c r="CB236" s="277"/>
      <c r="CC236" s="277"/>
      <c r="CD236" s="295"/>
      <c r="CE236" s="295"/>
      <c r="CF236" s="295"/>
      <c r="CG236" s="295"/>
      <c r="CH236" s="295"/>
    </row>
    <row r="237" spans="1:86" ht="12.75" customHeight="1" x14ac:dyDescent="0.2">
      <c r="A237" s="276"/>
      <c r="B237" s="276"/>
      <c r="BB237" s="332" t="str">
        <f t="shared" ref="BB237:BB274" si="16">BB195</f>
        <v>Betterave</v>
      </c>
      <c r="BC237" s="333">
        <f t="array" ref="BC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36 et plus],MATCH(ChoixRationBovins&amp;$BB237,Règles_bovins[Ration]&amp;Règles_bovins[Aliment],0)),0),0)*IF(ChoixBovinsPréHiver=OUI,TotalVachesRacesLaitières,TotalVaches*NbreJoursNourrirBovins))</f>
        <v>0</v>
      </c>
      <c r="BD237" s="333">
        <f t="array" ref="BD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24-36],MATCH(ChoixRationBovins&amp;$BB237,Règles_bovins[Ration]&amp;Règles_bovins[Aliment],0)),0),0)*IF(ChoixBovinsPréHiver=OUI,TotalGénisse_24_36_RacesLaitières,TotalBovinsFemelles_24_36mois*NbreJoursNourrirBovins))</f>
        <v>0</v>
      </c>
      <c r="BE237" s="333">
        <f t="array" ref="BE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18-24],MATCH(ChoixRationBovins&amp;$BB237,Règles_bovins[Ration]&amp;Règles_bovins[Aliment],0)),0),0)*IF(ChoixBovinsPréHiver=OUI,TotalGénisse_18_24_RacesLaitières,TotalBovinsFemelles_18_24mois*NbreJoursNourrirBovins))</f>
        <v>0</v>
      </c>
      <c r="BF237" s="333">
        <f t="array" ref="BF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12-18],MATCH(ChoixRationBovins&amp;$BB237,Règles_bovins[Ration]&amp;Règles_bovins[Aliment],0)),0),0)*IF(ChoixBovinsPréHiver=OUI,TotalGénisse_12_18_RacesLaitières,TotalBovinsFemelles_12_18mois*NbreJoursNourrirBovins))</f>
        <v>0</v>
      </c>
      <c r="BG237" s="333">
        <f t="array" ref="BG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6-12],MATCH(ChoixRationBovins&amp;$BB237,Règles_bovins[Ration]&amp;Règles_bovins[Aliment],0)),0),0)*IF(ChoixBovinsPréHiver=OUI,TotalVeauFemelle_6_12_RacesLaitières,TotalBovinsFemelles_6_12mois*NbreJoursNourrirBovins))</f>
        <v>0</v>
      </c>
      <c r="BH237" s="333">
        <f t="array" ref="BH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3-6],MATCH(ChoixRationBovins&amp;$BB237,Règles_bovins[Ration]&amp;Règles_bovins[Aliment],0)),0),0)*IF(ChoixBovinsPréHiver=OUI,TotalVeauFemelle_3_6_RacesLaitières,TotalBovinsFemelles_3_6mois*NbreJoursNourrirBovins))</f>
        <v>0</v>
      </c>
      <c r="BI237" s="333">
        <f t="array" ref="BI237">IF(Ration_complète_bovins[somme]&gt;0,0,IFERROR(IF(OR(AND(INDEX(Règles_bovins[Specificite],MATCH(ChoixRationBovins&amp;$BB237,Règles_bovins[Ration]&amp;Règles_bovins[Aliment],0))="s1",IF($BB237=Spécificité1Bovins,1)),
AND(INDEX(Règles_bovins[Specificite],MATCH(ChoixRationBovins&amp;$BB237,Règles_bovins[Ration]&amp;Règles_bovins[Aliment],0))="s2",IF($BB237=Spécificité2Bovins,1)),
INDEX(Règles_bovins[Specificite],MATCH(ChoixRationBovins&amp;$BB237,Règles_bovins[Ration]&amp;Règles_bovins[Aliment],0))="c"),
INDEX(Règles_bovins[Valeur 0-3],MATCH(ChoixRationBovins&amp;$BB237,Règles_bovins[Ration]&amp;Règles_bovins[Aliment],0)),0),0)*IF(ChoixBovinsPréHiver=OUI,TotalVeauFemelle_0_3_RacesLaitières,TotalBovinsFemelles_0_3mois*NbreJoursNourrirBovins))</f>
        <v>0</v>
      </c>
      <c r="BJ237" s="334">
        <f t="shared" si="15"/>
        <v>0</v>
      </c>
      <c r="BK237" s="276"/>
      <c r="BX237" s="277"/>
      <c r="BY237" s="277"/>
      <c r="BZ237" s="277"/>
      <c r="CA237" s="277"/>
      <c r="CB237" s="277"/>
      <c r="CC237" s="277"/>
      <c r="CD237" s="295"/>
      <c r="CE237" s="295"/>
      <c r="CF237" s="295"/>
      <c r="CG237" s="295"/>
      <c r="CH237" s="295"/>
    </row>
    <row r="238" spans="1:86" ht="12.75" customHeight="1" x14ac:dyDescent="0.2">
      <c r="A238" s="276"/>
      <c r="B238" s="276"/>
      <c r="BB238" s="332" t="str">
        <f t="shared" si="16"/>
        <v>Blé</v>
      </c>
      <c r="BC238" s="333">
        <f t="array" ref="BC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36 et plus],MATCH(ChoixRationBovins&amp;$BB238,Règles_bovins[Ration]&amp;Règles_bovins[Aliment],0)),0),0)*IF(ChoixBovinsPréHiver=OUI,TotalVachesRacesLaitières,TotalVaches*NbreJoursNourrirBovins))</f>
        <v>0</v>
      </c>
      <c r="BD238" s="333">
        <f t="array" ref="BD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24-36],MATCH(ChoixRationBovins&amp;$BB238,Règles_bovins[Ration]&amp;Règles_bovins[Aliment],0)),0),0)*IF(ChoixBovinsPréHiver=OUI,TotalGénisse_24_36_RacesLaitières,TotalBovinsFemelles_24_36mois*NbreJoursNourrirBovins))</f>
        <v>0</v>
      </c>
      <c r="BE238" s="333">
        <f t="array" ref="BE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18-24],MATCH(ChoixRationBovins&amp;$BB238,Règles_bovins[Ration]&amp;Règles_bovins[Aliment],0)),0),0)*IF(ChoixBovinsPréHiver=OUI,TotalGénisse_18_24_RacesLaitières,TotalBovinsFemelles_18_24mois*NbreJoursNourrirBovins))</f>
        <v>0</v>
      </c>
      <c r="BF238" s="333">
        <f t="array" ref="BF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12-18],MATCH(ChoixRationBovins&amp;$BB238,Règles_bovins[Ration]&amp;Règles_bovins[Aliment],0)),0),0)*IF(ChoixBovinsPréHiver=OUI,TotalGénisse_12_18_RacesLaitières,TotalBovinsFemelles_12_18mois*NbreJoursNourrirBovins))</f>
        <v>0</v>
      </c>
      <c r="BG238" s="333">
        <f t="array" ref="BG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6-12],MATCH(ChoixRationBovins&amp;$BB238,Règles_bovins[Ration]&amp;Règles_bovins[Aliment],0)),0),0)*IF(ChoixBovinsPréHiver=OUI,TotalVeauFemelle_6_12_RacesLaitières,TotalBovinsFemelles_6_12mois*NbreJoursNourrirBovins))</f>
        <v>0</v>
      </c>
      <c r="BH238" s="333">
        <f t="array" ref="BH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3-6],MATCH(ChoixRationBovins&amp;$BB238,Règles_bovins[Ration]&amp;Règles_bovins[Aliment],0)),0),0)*IF(ChoixBovinsPréHiver=OUI,TotalVeauFemelle_3_6_RacesLaitières,TotalBovinsFemelles_3_6mois*NbreJoursNourrirBovins))</f>
        <v>0</v>
      </c>
      <c r="BI238" s="333">
        <f t="array" ref="BI238">IF(Ration_complète_bovins[somme]&gt;0,0,IFERROR(IF(OR(AND(INDEX(Règles_bovins[Specificite],MATCH(ChoixRationBovins&amp;$BB238,Règles_bovins[Ration]&amp;Règles_bovins[Aliment],0))="s1",IF($BB238=Spécificité1Bovins,1)),
AND(INDEX(Règles_bovins[Specificite],MATCH(ChoixRationBovins&amp;$BB238,Règles_bovins[Ration]&amp;Règles_bovins[Aliment],0))="s2",IF($BB238=Spécificité2Bovins,1)),
INDEX(Règles_bovins[Specificite],MATCH(ChoixRationBovins&amp;$BB238,Règles_bovins[Ration]&amp;Règles_bovins[Aliment],0))="c"),
INDEX(Règles_bovins[Valeur 0-3],MATCH(ChoixRationBovins&amp;$BB238,Règles_bovins[Ration]&amp;Règles_bovins[Aliment],0)),0),0)*IF(ChoixBovinsPréHiver=OUI,TotalVeauFemelle_0_3_RacesLaitières,TotalBovinsFemelles_0_3mois*NbreJoursNourrirBovins))</f>
        <v>0</v>
      </c>
      <c r="BJ238" s="334">
        <f t="shared" si="15"/>
        <v>0</v>
      </c>
      <c r="BK238" s="276"/>
      <c r="BX238" s="277"/>
      <c r="BY238" s="456"/>
      <c r="BZ238" s="456"/>
      <c r="CA238" s="456"/>
      <c r="CB238" s="456"/>
      <c r="CC238" s="456"/>
      <c r="CD238" s="295"/>
      <c r="CE238" s="295"/>
      <c r="CF238" s="295"/>
      <c r="CG238" s="295"/>
      <c r="CH238" s="295"/>
    </row>
    <row r="239" spans="1:86" ht="12.75" customHeight="1" x14ac:dyDescent="0.2">
      <c r="A239" s="276"/>
      <c r="B239" s="276"/>
      <c r="BB239" s="332" t="str">
        <f t="shared" si="16"/>
        <v>Bouchons luzerne</v>
      </c>
      <c r="BC239" s="333">
        <f t="array" ref="BC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36 et plus],MATCH(ChoixRationBovins&amp;$BB239,Règles_bovins[Ration]&amp;Règles_bovins[Aliment],0)),0),0)*IF(ChoixBovinsPréHiver=OUI,TotalVachesRacesLaitières,TotalVaches*NbreJoursNourrirBovins))</f>
        <v>0</v>
      </c>
      <c r="BD239" s="333">
        <f t="array" ref="BD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24-36],MATCH(ChoixRationBovins&amp;$BB239,Règles_bovins[Ration]&amp;Règles_bovins[Aliment],0)),0),0)*IF(ChoixBovinsPréHiver=OUI,TotalGénisse_24_36_RacesLaitières,TotalBovinsFemelles_24_36mois*NbreJoursNourrirBovins))</f>
        <v>0</v>
      </c>
      <c r="BE239" s="333">
        <f t="array" ref="BE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18-24],MATCH(ChoixRationBovins&amp;$BB239,Règles_bovins[Ration]&amp;Règles_bovins[Aliment],0)),0),0)*IF(ChoixBovinsPréHiver=OUI,TotalGénisse_18_24_RacesLaitières,TotalBovinsFemelles_18_24mois*NbreJoursNourrirBovins))</f>
        <v>0</v>
      </c>
      <c r="BF239" s="333">
        <f t="array" ref="BF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12-18],MATCH(ChoixRationBovins&amp;$BB239,Règles_bovins[Ration]&amp;Règles_bovins[Aliment],0)),0),0)*IF(ChoixBovinsPréHiver=OUI,TotalGénisse_12_18_RacesLaitières,TotalBovinsFemelles_12_18mois*NbreJoursNourrirBovins))</f>
        <v>0</v>
      </c>
      <c r="BG239" s="333">
        <f t="array" ref="BG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6-12],MATCH(ChoixRationBovins&amp;$BB239,Règles_bovins[Ration]&amp;Règles_bovins[Aliment],0)),0),0)*IF(ChoixBovinsPréHiver=OUI,TotalVeauFemelle_6_12_RacesLaitières,TotalBovinsFemelles_6_12mois*NbreJoursNourrirBovins))</f>
        <v>0</v>
      </c>
      <c r="BH239" s="333">
        <f t="array" ref="BH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3-6],MATCH(ChoixRationBovins&amp;$BB239,Règles_bovins[Ration]&amp;Règles_bovins[Aliment],0)),0),0)*IF(ChoixBovinsPréHiver=OUI,TotalVeauFemelle_3_6_RacesLaitières,TotalBovinsFemelles_3_6mois*NbreJoursNourrirBovins))</f>
        <v>0</v>
      </c>
      <c r="BI239" s="333">
        <f t="array" ref="BI239">IF(Ration_complète_bovins[somme]&gt;0,0,IFERROR(IF(OR(AND(INDEX(Règles_bovins[Specificite],MATCH(ChoixRationBovins&amp;$BB239,Règles_bovins[Ration]&amp;Règles_bovins[Aliment],0))="s1",IF($BB239=Spécificité1Bovins,1)),
AND(INDEX(Règles_bovins[Specificite],MATCH(ChoixRationBovins&amp;$BB239,Règles_bovins[Ration]&amp;Règles_bovins[Aliment],0))="s2",IF($BB239=Spécificité2Bovins,1)),
INDEX(Règles_bovins[Specificite],MATCH(ChoixRationBovins&amp;$BB239,Règles_bovins[Ration]&amp;Règles_bovins[Aliment],0))="c"),
INDEX(Règles_bovins[Valeur 0-3],MATCH(ChoixRationBovins&amp;$BB239,Règles_bovins[Ration]&amp;Règles_bovins[Aliment],0)),0),0)*IF(ChoixBovinsPréHiver=OUI,TotalVeauFemelle_0_3_RacesLaitières,TotalBovinsFemelles_0_3mois*NbreJoursNourrirBovins))</f>
        <v>0</v>
      </c>
      <c r="BJ239" s="334">
        <f t="shared" si="15"/>
        <v>0</v>
      </c>
      <c r="BK239" s="276"/>
      <c r="BX239" s="277"/>
      <c r="BY239" s="277"/>
      <c r="BZ239" s="277"/>
      <c r="CA239" s="277"/>
      <c r="CB239" s="277"/>
      <c r="CC239" s="277"/>
      <c r="CD239" s="295"/>
      <c r="CE239" s="295"/>
      <c r="CF239" s="295"/>
      <c r="CG239" s="295"/>
      <c r="CH239" s="295"/>
    </row>
    <row r="240" spans="1:86" ht="12.75" customHeight="1" x14ac:dyDescent="0.2">
      <c r="A240" s="276"/>
      <c r="B240" s="276"/>
      <c r="BB240" s="332" t="str">
        <f t="shared" si="16"/>
        <v>Chanvre</v>
      </c>
      <c r="BC240" s="333">
        <f t="array" ref="BC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36 et plus],MATCH(ChoixRationBovins&amp;$BB240,Règles_bovins[Ration]&amp;Règles_bovins[Aliment],0)),0),0)*IF(ChoixBovinsPréHiver=OUI,TotalVachesRacesLaitières,TotalVaches*NbreJoursNourrirBovins))</f>
        <v>0</v>
      </c>
      <c r="BD240" s="333">
        <f t="array" ref="BD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24-36],MATCH(ChoixRationBovins&amp;$BB240,Règles_bovins[Ration]&amp;Règles_bovins[Aliment],0)),0),0)*IF(ChoixBovinsPréHiver=OUI,TotalGénisse_24_36_RacesLaitières,TotalBovinsFemelles_24_36mois*NbreJoursNourrirBovins))</f>
        <v>0</v>
      </c>
      <c r="BE240" s="333">
        <f t="array" ref="BE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18-24],MATCH(ChoixRationBovins&amp;$BB240,Règles_bovins[Ration]&amp;Règles_bovins[Aliment],0)),0),0)*IF(ChoixBovinsPréHiver=OUI,TotalGénisse_18_24_RacesLaitières,TotalBovinsFemelles_18_24mois*NbreJoursNourrirBovins))</f>
        <v>0</v>
      </c>
      <c r="BF240" s="333">
        <f t="array" ref="BF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12-18],MATCH(ChoixRationBovins&amp;$BB240,Règles_bovins[Ration]&amp;Règles_bovins[Aliment],0)),0),0)*IF(ChoixBovinsPréHiver=OUI,TotalGénisse_12_18_RacesLaitières,TotalBovinsFemelles_12_18mois*NbreJoursNourrirBovins))</f>
        <v>0</v>
      </c>
      <c r="BG240" s="333">
        <f t="array" ref="BG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6-12],MATCH(ChoixRationBovins&amp;$BB240,Règles_bovins[Ration]&amp;Règles_bovins[Aliment],0)),0),0)*IF(ChoixBovinsPréHiver=OUI,TotalVeauFemelle_6_12_RacesLaitières,TotalBovinsFemelles_6_12mois*NbreJoursNourrirBovins))</f>
        <v>0</v>
      </c>
      <c r="BH240" s="333">
        <f t="array" ref="BH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3-6],MATCH(ChoixRationBovins&amp;$BB240,Règles_bovins[Ration]&amp;Règles_bovins[Aliment],0)),0),0)*IF(ChoixBovinsPréHiver=OUI,TotalVeauFemelle_3_6_RacesLaitières,TotalBovinsFemelles_3_6mois*NbreJoursNourrirBovins))</f>
        <v>0</v>
      </c>
      <c r="BI240" s="333">
        <f t="array" ref="BI240">IF(Ration_complète_bovins[somme]&gt;0,0,IFERROR(IF(OR(AND(INDEX(Règles_bovins[Specificite],MATCH(ChoixRationBovins&amp;$BB240,Règles_bovins[Ration]&amp;Règles_bovins[Aliment],0))="s1",IF($BB240=Spécificité1Bovins,1)),
AND(INDEX(Règles_bovins[Specificite],MATCH(ChoixRationBovins&amp;$BB240,Règles_bovins[Ration]&amp;Règles_bovins[Aliment],0))="s2",IF($BB240=Spécificité2Bovins,1)),
INDEX(Règles_bovins[Specificite],MATCH(ChoixRationBovins&amp;$BB240,Règles_bovins[Ration]&amp;Règles_bovins[Aliment],0))="c"),
INDEX(Règles_bovins[Valeur 0-3],MATCH(ChoixRationBovins&amp;$BB240,Règles_bovins[Ration]&amp;Règles_bovins[Aliment],0)),0),0)*IF(ChoixBovinsPréHiver=OUI,TotalVeauFemelle_0_3_RacesLaitières,TotalBovinsFemelles_0_3mois*NbreJoursNourrirBovins))</f>
        <v>0</v>
      </c>
      <c r="BJ240" s="334">
        <f t="shared" si="15"/>
        <v>0</v>
      </c>
      <c r="BK240" s="276"/>
      <c r="BX240" s="277"/>
      <c r="BY240" s="277"/>
      <c r="BZ240" s="277"/>
      <c r="CA240" s="277"/>
      <c r="CB240" s="277"/>
      <c r="CC240" s="277"/>
      <c r="CD240" s="295"/>
      <c r="CE240" s="295"/>
      <c r="CF240" s="295"/>
      <c r="CG240" s="295"/>
      <c r="CH240" s="295"/>
    </row>
    <row r="241" spans="1:86" ht="12.75" customHeight="1" x14ac:dyDescent="0.2">
      <c r="A241" s="276"/>
      <c r="B241" s="276"/>
      <c r="BB241" s="332" t="str">
        <f t="shared" si="16"/>
        <v>Canola</v>
      </c>
      <c r="BC241" s="333">
        <f t="array" ref="BC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36 et plus],MATCH(ChoixRationBovins&amp;$BB241,Règles_bovins[Ration]&amp;Règles_bovins[Aliment],0)),0),0)*IF(ChoixBovinsPréHiver=OUI,TotalVachesRacesLaitières,TotalVaches*NbreJoursNourrirBovins))</f>
        <v>0</v>
      </c>
      <c r="BD241" s="333">
        <f t="array" ref="BD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24-36],MATCH(ChoixRationBovins&amp;$BB241,Règles_bovins[Ration]&amp;Règles_bovins[Aliment],0)),0),0)*IF(ChoixBovinsPréHiver=OUI,TotalGénisse_24_36_RacesLaitières,TotalBovinsFemelles_24_36mois*NbreJoursNourrirBovins))</f>
        <v>0</v>
      </c>
      <c r="BE241" s="333">
        <f t="array" ref="BE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18-24],MATCH(ChoixRationBovins&amp;$BB241,Règles_bovins[Ration]&amp;Règles_bovins[Aliment],0)),0),0)*IF(ChoixBovinsPréHiver=OUI,TotalGénisse_18_24_RacesLaitières,TotalBovinsFemelles_18_24mois*NbreJoursNourrirBovins))</f>
        <v>0</v>
      </c>
      <c r="BF241" s="333">
        <f t="array" ref="BF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12-18],MATCH(ChoixRationBovins&amp;$BB241,Règles_bovins[Ration]&amp;Règles_bovins[Aliment],0)),0),0)*IF(ChoixBovinsPréHiver=OUI,TotalGénisse_12_18_RacesLaitières,TotalBovinsFemelles_12_18mois*NbreJoursNourrirBovins))</f>
        <v>0</v>
      </c>
      <c r="BG241" s="333">
        <f t="array" ref="BG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6-12],MATCH(ChoixRationBovins&amp;$BB241,Règles_bovins[Ration]&amp;Règles_bovins[Aliment],0)),0),0)*IF(ChoixBovinsPréHiver=OUI,TotalVeauFemelle_6_12_RacesLaitières,TotalBovinsFemelles_6_12mois*NbreJoursNourrirBovins))</f>
        <v>0</v>
      </c>
      <c r="BH241" s="333">
        <f t="array" ref="BH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3-6],MATCH(ChoixRationBovins&amp;$BB241,Règles_bovins[Ration]&amp;Règles_bovins[Aliment],0)),0),0)*IF(ChoixBovinsPréHiver=OUI,TotalVeauFemelle_3_6_RacesLaitières,TotalBovinsFemelles_3_6mois*NbreJoursNourrirBovins))</f>
        <v>0</v>
      </c>
      <c r="BI241" s="333">
        <f t="array" ref="BI241">IF(Ration_complète_bovins[somme]&gt;0,0,IFERROR(IF(OR(AND(INDEX(Règles_bovins[Specificite],MATCH(ChoixRationBovins&amp;$BB241,Règles_bovins[Ration]&amp;Règles_bovins[Aliment],0))="s1",IF($BB241=Spécificité1Bovins,1)),
AND(INDEX(Règles_bovins[Specificite],MATCH(ChoixRationBovins&amp;$BB241,Règles_bovins[Ration]&amp;Règles_bovins[Aliment],0))="s2",IF($BB241=Spécificité2Bovins,1)),
INDEX(Règles_bovins[Specificite],MATCH(ChoixRationBovins&amp;$BB241,Règles_bovins[Ration]&amp;Règles_bovins[Aliment],0))="c"),
INDEX(Règles_bovins[Valeur 0-3],MATCH(ChoixRationBovins&amp;$BB241,Règles_bovins[Ration]&amp;Règles_bovins[Aliment],0)),0),0)*IF(ChoixBovinsPréHiver=OUI,TotalVeauFemelle_0_3_RacesLaitières,TotalBovinsFemelles_0_3mois*NbreJoursNourrirBovins))</f>
        <v>0</v>
      </c>
      <c r="BJ241" s="334">
        <f t="shared" si="15"/>
        <v>0</v>
      </c>
      <c r="BK241" s="276"/>
      <c r="BX241" s="277"/>
      <c r="BY241" s="277"/>
      <c r="BZ241" s="277"/>
      <c r="CA241" s="277"/>
      <c r="CB241" s="277"/>
      <c r="CC241" s="277"/>
      <c r="CD241" s="295"/>
      <c r="CE241" s="295"/>
      <c r="CF241" s="295"/>
      <c r="CG241" s="295"/>
      <c r="CH241" s="295"/>
    </row>
    <row r="242" spans="1:86" ht="12.75" customHeight="1" x14ac:dyDescent="0.2">
      <c r="A242" s="276"/>
      <c r="B242" s="276"/>
      <c r="BB242" s="332" t="str">
        <f t="shared" si="16"/>
        <v>Colza</v>
      </c>
      <c r="BC242" s="333">
        <f t="array" ref="BC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36 et plus],MATCH(ChoixRationBovins&amp;$BB242,Règles_bovins[Ration]&amp;Règles_bovins[Aliment],0)),0),0)*IF(ChoixBovinsPréHiver=OUI,TotalVachesRacesLaitières,TotalVaches*NbreJoursNourrirBovins))</f>
        <v>0</v>
      </c>
      <c r="BD242" s="333">
        <f t="array" ref="BD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24-36],MATCH(ChoixRationBovins&amp;$BB242,Règles_bovins[Ration]&amp;Règles_bovins[Aliment],0)),0),0)*IF(ChoixBovinsPréHiver=OUI,TotalGénisse_24_36_RacesLaitières,TotalBovinsFemelles_24_36mois*NbreJoursNourrirBovins))</f>
        <v>0</v>
      </c>
      <c r="BE242" s="333">
        <f t="array" ref="BE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18-24],MATCH(ChoixRationBovins&amp;$BB242,Règles_bovins[Ration]&amp;Règles_bovins[Aliment],0)),0),0)*IF(ChoixBovinsPréHiver=OUI,TotalGénisse_18_24_RacesLaitières,TotalBovinsFemelles_18_24mois*NbreJoursNourrirBovins))</f>
        <v>0</v>
      </c>
      <c r="BF242" s="333">
        <f t="array" ref="BF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12-18],MATCH(ChoixRationBovins&amp;$BB242,Règles_bovins[Ration]&amp;Règles_bovins[Aliment],0)),0),0)*IF(ChoixBovinsPréHiver=OUI,TotalGénisse_12_18_RacesLaitières,TotalBovinsFemelles_12_18mois*NbreJoursNourrirBovins))</f>
        <v>0</v>
      </c>
      <c r="BG242" s="333">
        <f t="array" ref="BG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6-12],MATCH(ChoixRationBovins&amp;$BB242,Règles_bovins[Ration]&amp;Règles_bovins[Aliment],0)),0),0)*IF(ChoixBovinsPréHiver=OUI,TotalVeauFemelle_6_12_RacesLaitières,TotalBovinsFemelles_6_12mois*NbreJoursNourrirBovins))</f>
        <v>0</v>
      </c>
      <c r="BH242" s="333">
        <f t="array" ref="BH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3-6],MATCH(ChoixRationBovins&amp;$BB242,Règles_bovins[Ration]&amp;Règles_bovins[Aliment],0)),0),0)*IF(ChoixBovinsPréHiver=OUI,TotalVeauFemelle_3_6_RacesLaitières,TotalBovinsFemelles_3_6mois*NbreJoursNourrirBovins))</f>
        <v>0</v>
      </c>
      <c r="BI242" s="333">
        <f t="array" ref="BI242">IF(Ration_complète_bovins[somme]&gt;0,0,IFERROR(IF(OR(AND(INDEX(Règles_bovins[Specificite],MATCH(ChoixRationBovins&amp;$BB242,Règles_bovins[Ration]&amp;Règles_bovins[Aliment],0))="s1",IF($BB242=Spécificité1Bovins,1)),
AND(INDEX(Règles_bovins[Specificite],MATCH(ChoixRationBovins&amp;$BB242,Règles_bovins[Ration]&amp;Règles_bovins[Aliment],0))="s2",IF($BB242=Spécificité2Bovins,1)),
INDEX(Règles_bovins[Specificite],MATCH(ChoixRationBovins&amp;$BB242,Règles_bovins[Ration]&amp;Règles_bovins[Aliment],0))="c"),
INDEX(Règles_bovins[Valeur 0-3],MATCH(ChoixRationBovins&amp;$BB242,Règles_bovins[Ration]&amp;Règles_bovins[Aliment],0)),0),0)*IF(ChoixBovinsPréHiver=OUI,TotalVeauFemelle_0_3_RacesLaitières,TotalBovinsFemelles_0_3mois*NbreJoursNourrirBovins))</f>
        <v>0</v>
      </c>
      <c r="BJ242" s="334">
        <f t="shared" si="15"/>
        <v>0</v>
      </c>
      <c r="BK242" s="276"/>
      <c r="BX242" s="277"/>
      <c r="BY242" s="277"/>
      <c r="BZ242" s="277"/>
      <c r="CA242" s="277"/>
      <c r="CB242" s="277"/>
      <c r="CC242" s="277"/>
      <c r="CD242" s="295"/>
      <c r="CE242" s="295"/>
      <c r="CF242" s="295"/>
      <c r="CG242" s="295"/>
      <c r="CH242" s="295"/>
    </row>
    <row r="243" spans="1:86" ht="12.75" customHeight="1" x14ac:dyDescent="0.2">
      <c r="A243" s="276"/>
      <c r="B243" s="276"/>
      <c r="BB243" s="332" t="str">
        <f t="shared" si="16"/>
        <v>concentré jeunes bovins</v>
      </c>
      <c r="BC243" s="333">
        <f t="array" ref="BC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36 et plus],MATCH(ChoixRationBovins&amp;$BB243,Règles_bovins[Ration]&amp;Règles_bovins[Aliment],0)),0),0)*IF(ChoixBovinsPréHiver=OUI,TotalVachesRacesLaitières,TotalVaches*NbreJoursNourrirBovins))</f>
        <v>0</v>
      </c>
      <c r="BD243" s="333">
        <f t="array" ref="BD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24-36],MATCH(ChoixRationBovins&amp;$BB243,Règles_bovins[Ration]&amp;Règles_bovins[Aliment],0)),0),0)*IF(ChoixBovinsPréHiver=OUI,TotalGénisse_24_36_RacesLaitières,TotalBovinsFemelles_24_36mois*NbreJoursNourrirBovins))</f>
        <v>0</v>
      </c>
      <c r="BE243" s="333">
        <f t="array" ref="BE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18-24],MATCH(ChoixRationBovins&amp;$BB243,Règles_bovins[Ration]&amp;Règles_bovins[Aliment],0)),0),0)*IF(ChoixBovinsPréHiver=OUI,TotalGénisse_18_24_RacesLaitières,TotalBovinsFemelles_18_24mois*NbreJoursNourrirBovins))</f>
        <v>0</v>
      </c>
      <c r="BF243" s="333">
        <f t="array" ref="BF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12-18],MATCH(ChoixRationBovins&amp;$BB243,Règles_bovins[Ration]&amp;Règles_bovins[Aliment],0)),0),0)*IF(ChoixBovinsPréHiver=OUI,TotalGénisse_12_18_RacesLaitières,TotalBovinsFemelles_12_18mois*NbreJoursNourrirBovins))</f>
        <v>0</v>
      </c>
      <c r="BG243" s="333">
        <f t="array" ref="BG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6-12],MATCH(ChoixRationBovins&amp;$BB243,Règles_bovins[Ration]&amp;Règles_bovins[Aliment],0)),0),0)*IF(ChoixBovinsPréHiver=OUI,TotalVeauFemelle_6_12_RacesLaitières,TotalBovinsFemelles_6_12mois*NbreJoursNourrirBovins))</f>
        <v>0</v>
      </c>
      <c r="BH243" s="333">
        <f t="array" ref="BH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3-6],MATCH(ChoixRationBovins&amp;$BB243,Règles_bovins[Ration]&amp;Règles_bovins[Aliment],0)),0),0)*IF(ChoixBovinsPréHiver=OUI,TotalVeauFemelle_3_6_RacesLaitières,TotalBovinsFemelles_3_6mois*NbreJoursNourrirBovins))</f>
        <v>0</v>
      </c>
      <c r="BI243" s="333">
        <f t="array" ref="BI243">IF(Ration_complète_bovins[somme]&gt;0,0,IFERROR(IF(OR(AND(INDEX(Règles_bovins[Specificite],MATCH(ChoixRationBovins&amp;$BB243,Règles_bovins[Ration]&amp;Règles_bovins[Aliment],0))="s1",IF($BB243=Spécificité1Bovins,1)),
AND(INDEX(Règles_bovins[Specificite],MATCH(ChoixRationBovins&amp;$BB243,Règles_bovins[Ration]&amp;Règles_bovins[Aliment],0))="s2",IF($BB243=Spécificité2Bovins,1)),
INDEX(Règles_bovins[Specificite],MATCH(ChoixRationBovins&amp;$BB243,Règles_bovins[Ration]&amp;Règles_bovins[Aliment],0))="c"),
INDEX(Règles_bovins[Valeur 0-3],MATCH(ChoixRationBovins&amp;$BB243,Règles_bovins[Ration]&amp;Règles_bovins[Aliment],0)),0),0)*IF(ChoixBovinsPréHiver=OUI,TotalVeauFemelle_0_3_RacesLaitières,TotalBovinsFemelles_0_3mois*NbreJoursNourrirBovins))</f>
        <v>0</v>
      </c>
      <c r="BJ243" s="334">
        <f t="shared" si="15"/>
        <v>0</v>
      </c>
      <c r="BK243" s="276"/>
      <c r="BX243" s="277"/>
      <c r="BY243" s="277"/>
      <c r="BZ243" s="277"/>
      <c r="CA243" s="277"/>
      <c r="CB243" s="277"/>
      <c r="CC243" s="277"/>
      <c r="CD243" s="295"/>
      <c r="CE243" s="295"/>
      <c r="CF243" s="295"/>
      <c r="CG243" s="295"/>
      <c r="CH243" s="295"/>
    </row>
    <row r="244" spans="1:86" ht="12.75" customHeight="1" x14ac:dyDescent="0.2">
      <c r="A244" s="276"/>
      <c r="B244" s="276"/>
      <c r="BB244" s="332" t="str">
        <f t="shared" si="16"/>
        <v>concentré jeunes lapins</v>
      </c>
      <c r="BC244" s="333">
        <f t="array" ref="BC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36 et plus],MATCH(ChoixRationBovins&amp;$BB244,Règles_bovins[Ration]&amp;Règles_bovins[Aliment],0)),0),0)*IF(ChoixBovinsPréHiver=OUI,TotalVachesRacesLaitières,TotalVaches*NbreJoursNourrirBovins))</f>
        <v>0</v>
      </c>
      <c r="BD244" s="333">
        <f t="array" ref="BD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24-36],MATCH(ChoixRationBovins&amp;$BB244,Règles_bovins[Ration]&amp;Règles_bovins[Aliment],0)),0),0)*IF(ChoixBovinsPréHiver=OUI,TotalGénisse_24_36_RacesLaitières,TotalBovinsFemelles_24_36mois*NbreJoursNourrirBovins))</f>
        <v>0</v>
      </c>
      <c r="BE244" s="333">
        <f t="array" ref="BE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18-24],MATCH(ChoixRationBovins&amp;$BB244,Règles_bovins[Ration]&amp;Règles_bovins[Aliment],0)),0),0)*IF(ChoixBovinsPréHiver=OUI,TotalGénisse_18_24_RacesLaitières,TotalBovinsFemelles_18_24mois*NbreJoursNourrirBovins))</f>
        <v>0</v>
      </c>
      <c r="BF244" s="333">
        <f t="array" ref="BF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12-18],MATCH(ChoixRationBovins&amp;$BB244,Règles_bovins[Ration]&amp;Règles_bovins[Aliment],0)),0),0)*IF(ChoixBovinsPréHiver=OUI,TotalGénisse_12_18_RacesLaitières,TotalBovinsFemelles_12_18mois*NbreJoursNourrirBovins))</f>
        <v>0</v>
      </c>
      <c r="BG244" s="333">
        <f t="array" ref="BG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6-12],MATCH(ChoixRationBovins&amp;$BB244,Règles_bovins[Ration]&amp;Règles_bovins[Aliment],0)),0),0)*IF(ChoixBovinsPréHiver=OUI,TotalVeauFemelle_6_12_RacesLaitières,TotalBovinsFemelles_6_12mois*NbreJoursNourrirBovins))</f>
        <v>0</v>
      </c>
      <c r="BH244" s="333">
        <f t="array" ref="BH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3-6],MATCH(ChoixRationBovins&amp;$BB244,Règles_bovins[Ration]&amp;Règles_bovins[Aliment],0)),0),0)*IF(ChoixBovinsPréHiver=OUI,TotalVeauFemelle_3_6_RacesLaitières,TotalBovinsFemelles_3_6mois*NbreJoursNourrirBovins))</f>
        <v>0</v>
      </c>
      <c r="BI244" s="333">
        <f t="array" ref="BI244">IF(Ration_complète_bovins[somme]&gt;0,0,IFERROR(IF(OR(AND(INDEX(Règles_bovins[Specificite],MATCH(ChoixRationBovins&amp;$BB244,Règles_bovins[Ration]&amp;Règles_bovins[Aliment],0))="s1",IF($BB244=Spécificité1Bovins,1)),
AND(INDEX(Règles_bovins[Specificite],MATCH(ChoixRationBovins&amp;$BB244,Règles_bovins[Ration]&amp;Règles_bovins[Aliment],0))="s2",IF($BB244=Spécificité2Bovins,1)),
INDEX(Règles_bovins[Specificite],MATCH(ChoixRationBovins&amp;$BB244,Règles_bovins[Ration]&amp;Règles_bovins[Aliment],0))="c"),
INDEX(Règles_bovins[Valeur 0-3],MATCH(ChoixRationBovins&amp;$BB244,Règles_bovins[Ration]&amp;Règles_bovins[Aliment],0)),0),0)*IF(ChoixBovinsPréHiver=OUI,TotalVeauFemelle_0_3_RacesLaitières,TotalBovinsFemelles_0_3mois*NbreJoursNourrirBovins))</f>
        <v>0</v>
      </c>
      <c r="BJ244" s="334">
        <f t="shared" si="15"/>
        <v>0</v>
      </c>
      <c r="BK244" s="276"/>
      <c r="BX244" s="277"/>
      <c r="BY244" s="277"/>
      <c r="BZ244" s="277"/>
      <c r="CA244" s="277"/>
      <c r="CB244" s="277"/>
      <c r="CC244" s="277"/>
      <c r="CD244" s="295"/>
      <c r="CE244" s="295"/>
      <c r="CF244" s="295"/>
      <c r="CG244" s="295"/>
      <c r="CH244" s="295"/>
    </row>
    <row r="245" spans="1:86" ht="12.75" customHeight="1" x14ac:dyDescent="0.2">
      <c r="A245" s="276"/>
      <c r="B245" s="276"/>
      <c r="BB245" s="332" t="str">
        <f t="shared" si="16"/>
        <v>concentré jeunes porcins</v>
      </c>
      <c r="BC245" s="333">
        <f t="array" ref="BC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36 et plus],MATCH(ChoixRationBovins&amp;$BB245,Règles_bovins[Ration]&amp;Règles_bovins[Aliment],0)),0),0)*IF(ChoixBovinsPréHiver=OUI,TotalVachesRacesLaitières,TotalVaches*NbreJoursNourrirBovins))</f>
        <v>0</v>
      </c>
      <c r="BD245" s="333">
        <f t="array" ref="BD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24-36],MATCH(ChoixRationBovins&amp;$BB245,Règles_bovins[Ration]&amp;Règles_bovins[Aliment],0)),0),0)*IF(ChoixBovinsPréHiver=OUI,TotalGénisse_24_36_RacesLaitières,TotalBovinsFemelles_24_36mois*NbreJoursNourrirBovins))</f>
        <v>0</v>
      </c>
      <c r="BE245" s="333">
        <f t="array" ref="BE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18-24],MATCH(ChoixRationBovins&amp;$BB245,Règles_bovins[Ration]&amp;Règles_bovins[Aliment],0)),0),0)*IF(ChoixBovinsPréHiver=OUI,TotalGénisse_18_24_RacesLaitières,TotalBovinsFemelles_18_24mois*NbreJoursNourrirBovins))</f>
        <v>0</v>
      </c>
      <c r="BF245" s="333">
        <f t="array" ref="BF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12-18],MATCH(ChoixRationBovins&amp;$BB245,Règles_bovins[Ration]&amp;Règles_bovins[Aliment],0)),0),0)*IF(ChoixBovinsPréHiver=OUI,TotalGénisse_12_18_RacesLaitières,TotalBovinsFemelles_12_18mois*NbreJoursNourrirBovins))</f>
        <v>0</v>
      </c>
      <c r="BG245" s="333">
        <f t="array" ref="BG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6-12],MATCH(ChoixRationBovins&amp;$BB245,Règles_bovins[Ration]&amp;Règles_bovins[Aliment],0)),0),0)*IF(ChoixBovinsPréHiver=OUI,TotalVeauFemelle_6_12_RacesLaitières,TotalBovinsFemelles_6_12mois*NbreJoursNourrirBovins))</f>
        <v>0</v>
      </c>
      <c r="BH245" s="333">
        <f t="array" ref="BH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3-6],MATCH(ChoixRationBovins&amp;$BB245,Règles_bovins[Ration]&amp;Règles_bovins[Aliment],0)),0),0)*IF(ChoixBovinsPréHiver=OUI,TotalVeauFemelle_3_6_RacesLaitières,TotalBovinsFemelles_3_6mois*NbreJoursNourrirBovins))</f>
        <v>0</v>
      </c>
      <c r="BI245" s="333">
        <f t="array" ref="BI245">IF(Ration_complète_bovins[somme]&gt;0,0,IFERROR(IF(OR(AND(INDEX(Règles_bovins[Specificite],MATCH(ChoixRationBovins&amp;$BB245,Règles_bovins[Ration]&amp;Règles_bovins[Aliment],0))="s1",IF($BB245=Spécificité1Bovins,1)),
AND(INDEX(Règles_bovins[Specificite],MATCH(ChoixRationBovins&amp;$BB245,Règles_bovins[Ration]&amp;Règles_bovins[Aliment],0))="s2",IF($BB245=Spécificité2Bovins,1)),
INDEX(Règles_bovins[Specificite],MATCH(ChoixRationBovins&amp;$BB245,Règles_bovins[Ration]&amp;Règles_bovins[Aliment],0))="c"),
INDEX(Règles_bovins[Valeur 0-3],MATCH(ChoixRationBovins&amp;$BB245,Règles_bovins[Ration]&amp;Règles_bovins[Aliment],0)),0),0)*IF(ChoixBovinsPréHiver=OUI,TotalVeauFemelle_0_3_RacesLaitières,TotalBovinsFemelles_0_3mois*NbreJoursNourrirBovins))</f>
        <v>0</v>
      </c>
      <c r="BJ245" s="334">
        <f t="shared" si="15"/>
        <v>0</v>
      </c>
      <c r="BK245" s="276"/>
      <c r="BX245" s="277"/>
      <c r="BY245" s="277"/>
      <c r="BZ245" s="277"/>
      <c r="CA245" s="277"/>
      <c r="CB245" s="277"/>
      <c r="CC245" s="277"/>
      <c r="CD245" s="295"/>
      <c r="CE245" s="295"/>
      <c r="CF245" s="295"/>
      <c r="CG245" s="295"/>
      <c r="CH245" s="295"/>
    </row>
    <row r="246" spans="1:86" ht="12.75" customHeight="1" x14ac:dyDescent="0.2">
      <c r="A246" s="276"/>
      <c r="B246" s="276"/>
      <c r="BB246" s="332" t="str">
        <f t="shared" si="16"/>
        <v>Ensilage d'herbe</v>
      </c>
      <c r="BC246" s="333">
        <f t="array" ref="BC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36 et plus],MATCH(ChoixRationBovins&amp;$BB246,Règles_bovins[Ration]&amp;Règles_bovins[Aliment],0)),0),0)*IF(ChoixBovinsPréHiver=OUI,TotalVachesRacesLaitières,TotalVaches*NbreJoursNourrirBovins))</f>
        <v>0</v>
      </c>
      <c r="BD246" s="333">
        <f t="array" ref="BD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24-36],MATCH(ChoixRationBovins&amp;$BB246,Règles_bovins[Ration]&amp;Règles_bovins[Aliment],0)),0),0)*IF(ChoixBovinsPréHiver=OUI,TotalGénisse_24_36_RacesLaitières,TotalBovinsFemelles_24_36mois*NbreJoursNourrirBovins))</f>
        <v>0</v>
      </c>
      <c r="BE246" s="333">
        <f t="array" ref="BE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18-24],MATCH(ChoixRationBovins&amp;$BB246,Règles_bovins[Ration]&amp;Règles_bovins[Aliment],0)),0),0)*IF(ChoixBovinsPréHiver=OUI,TotalGénisse_18_24_RacesLaitières,TotalBovinsFemelles_18_24mois*NbreJoursNourrirBovins))</f>
        <v>0</v>
      </c>
      <c r="BF246" s="333">
        <f t="array" ref="BF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12-18],MATCH(ChoixRationBovins&amp;$BB246,Règles_bovins[Ration]&amp;Règles_bovins[Aliment],0)),0),0)*IF(ChoixBovinsPréHiver=OUI,TotalGénisse_12_18_RacesLaitières,TotalBovinsFemelles_12_18mois*NbreJoursNourrirBovins))</f>
        <v>0</v>
      </c>
      <c r="BG246" s="333">
        <f t="array" ref="BG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6-12],MATCH(ChoixRationBovins&amp;$BB246,Règles_bovins[Ration]&amp;Règles_bovins[Aliment],0)),0),0)*IF(ChoixBovinsPréHiver=OUI,TotalVeauFemelle_6_12_RacesLaitières,TotalBovinsFemelles_6_12mois*NbreJoursNourrirBovins))</f>
        <v>0</v>
      </c>
      <c r="BH246" s="333">
        <f t="array" ref="BH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3-6],MATCH(ChoixRationBovins&amp;$BB246,Règles_bovins[Ration]&amp;Règles_bovins[Aliment],0)),0),0)*IF(ChoixBovinsPréHiver=OUI,TotalVeauFemelle_3_6_RacesLaitières,TotalBovinsFemelles_3_6mois*NbreJoursNourrirBovins))</f>
        <v>0</v>
      </c>
      <c r="BI246" s="333">
        <f t="array" ref="BI246">IF(Ration_complète_bovins[somme]&gt;0,0,IFERROR(IF(OR(AND(INDEX(Règles_bovins[Specificite],MATCH(ChoixRationBovins&amp;$BB246,Règles_bovins[Ration]&amp;Règles_bovins[Aliment],0))="s1",IF($BB246=Spécificité1Bovins,1)),
AND(INDEX(Règles_bovins[Specificite],MATCH(ChoixRationBovins&amp;$BB246,Règles_bovins[Ration]&amp;Règles_bovins[Aliment],0))="s2",IF($BB246=Spécificité2Bovins,1)),
INDEX(Règles_bovins[Specificite],MATCH(ChoixRationBovins&amp;$BB246,Règles_bovins[Ration]&amp;Règles_bovins[Aliment],0))="c"),
INDEX(Règles_bovins[Valeur 0-3],MATCH(ChoixRationBovins&amp;$BB246,Règles_bovins[Ration]&amp;Règles_bovins[Aliment],0)),0),0)*IF(ChoixBovinsPréHiver=OUI,TotalVeauFemelle_0_3_RacesLaitières,TotalBovinsFemelles_0_3mois*NbreJoursNourrirBovins))</f>
        <v>0</v>
      </c>
      <c r="BJ246" s="334">
        <f t="shared" si="15"/>
        <v>0</v>
      </c>
      <c r="BK246" s="276"/>
      <c r="BX246" s="277"/>
      <c r="BY246" s="277"/>
      <c r="BZ246" s="277"/>
      <c r="CA246" s="277"/>
      <c r="CB246" s="277"/>
      <c r="CC246" s="277"/>
      <c r="CD246" s="295"/>
      <c r="CE246" s="295"/>
      <c r="CF246" s="295"/>
      <c r="CG246" s="295"/>
    </row>
    <row r="247" spans="1:86" ht="12.75" customHeight="1" x14ac:dyDescent="0.2">
      <c r="A247" s="276"/>
      <c r="B247" s="276"/>
      <c r="BB247" s="332" t="str">
        <f t="shared" si="16"/>
        <v>Eau</v>
      </c>
      <c r="BC247" s="333">
        <f t="array" ref="BC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36 et plus],MATCH(ChoixRationBovins&amp;$BB247,Règles_bovins[Ration]&amp;Règles_bovins[Aliment],0)),0),0)*IF(ChoixBovinsPréHiver=OUI,TotalVachesRacesLaitières,TotalVaches*NbreJoursNourrirBovins))</f>
        <v>0</v>
      </c>
      <c r="BD247" s="333">
        <f t="array" ref="BD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24-36],MATCH(ChoixRationBovins&amp;$BB247,Règles_bovins[Ration]&amp;Règles_bovins[Aliment],0)),0),0)*IF(ChoixBovinsPréHiver=OUI,TotalGénisse_24_36_RacesLaitières,TotalBovinsFemelles_24_36mois*NbreJoursNourrirBovins))</f>
        <v>0</v>
      </c>
      <c r="BE247" s="333">
        <f t="array" ref="BE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18-24],MATCH(ChoixRationBovins&amp;$BB247,Règles_bovins[Ration]&amp;Règles_bovins[Aliment],0)),0),0)*IF(ChoixBovinsPréHiver=OUI,TotalGénisse_18_24_RacesLaitières,TotalBovinsFemelles_18_24mois*NbreJoursNourrirBovins))</f>
        <v>0</v>
      </c>
      <c r="BF247" s="333">
        <f t="array" ref="BF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12-18],MATCH(ChoixRationBovins&amp;$BB247,Règles_bovins[Ration]&amp;Règles_bovins[Aliment],0)),0),0)*IF(ChoixBovinsPréHiver=OUI,TotalGénisse_12_18_RacesLaitières,TotalBovinsFemelles_12_18mois*NbreJoursNourrirBovins))</f>
        <v>0</v>
      </c>
      <c r="BG247" s="333">
        <f t="array" ref="BG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6-12],MATCH(ChoixRationBovins&amp;$BB247,Règles_bovins[Ration]&amp;Règles_bovins[Aliment],0)),0),0)*IF(ChoixBovinsPréHiver=OUI,TotalVeauFemelle_6_12_RacesLaitières,TotalBovinsFemelles_6_12mois*NbreJoursNourrirBovins))</f>
        <v>0</v>
      </c>
      <c r="BH247" s="333">
        <f t="array" ref="BH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3-6],MATCH(ChoixRationBovins&amp;$BB247,Règles_bovins[Ration]&amp;Règles_bovins[Aliment],0)),0),0)*IF(ChoixBovinsPréHiver=OUI,TotalVeauFemelle_3_6_RacesLaitières,TotalBovinsFemelles_3_6mois*NbreJoursNourrirBovins))</f>
        <v>0</v>
      </c>
      <c r="BI247" s="333">
        <f t="array" ref="BI247">IF(Ration_complète_bovins[somme]&gt;0,0,IFERROR(IF(OR(AND(INDEX(Règles_bovins[Specificite],MATCH(ChoixRationBovins&amp;$BB247,Règles_bovins[Ration]&amp;Règles_bovins[Aliment],0))="s1",IF($BB247=Spécificité1Bovins,1)),
AND(INDEX(Règles_bovins[Specificite],MATCH(ChoixRationBovins&amp;$BB247,Règles_bovins[Ration]&amp;Règles_bovins[Aliment],0))="s2",IF($BB247=Spécificité2Bovins,1)),
INDEX(Règles_bovins[Specificite],MATCH(ChoixRationBovins&amp;$BB247,Règles_bovins[Ration]&amp;Règles_bovins[Aliment],0))="c"),
INDEX(Règles_bovins[Valeur 0-3],MATCH(ChoixRationBovins&amp;$BB247,Règles_bovins[Ration]&amp;Règles_bovins[Aliment],0)),0),0)*IF(ChoixBovinsPréHiver=OUI,TotalVeauFemelle_0_3_RacesLaitières,TotalBovinsFemelles_0_3mois*NbreJoursNourrirBovins))</f>
        <v>0</v>
      </c>
      <c r="BJ247" s="334">
        <f t="shared" si="15"/>
        <v>0</v>
      </c>
      <c r="BK247" s="276"/>
      <c r="BX247" s="277"/>
      <c r="BY247" s="277"/>
      <c r="BZ247" s="277"/>
      <c r="CA247" s="277"/>
      <c r="CB247" s="277"/>
      <c r="CC247" s="277"/>
      <c r="CD247" s="295"/>
      <c r="CE247" s="295"/>
      <c r="CF247" s="295"/>
      <c r="CG247" s="295"/>
    </row>
    <row r="248" spans="1:86" ht="12.75" customHeight="1" x14ac:dyDescent="0.2">
      <c r="A248" s="276"/>
      <c r="B248" s="276"/>
      <c r="BB248" s="332" t="str">
        <f t="shared" si="16"/>
        <v>Epinard</v>
      </c>
      <c r="BC248" s="333">
        <f t="array" ref="BC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36 et plus],MATCH(ChoixRationBovins&amp;$BB248,Règles_bovins[Ration]&amp;Règles_bovins[Aliment],0)),0),0)*IF(ChoixBovinsPréHiver=OUI,TotalVachesRacesLaitières,TotalVaches*NbreJoursNourrirBovins))</f>
        <v>0</v>
      </c>
      <c r="BD248" s="333">
        <f t="array" ref="BD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24-36],MATCH(ChoixRationBovins&amp;$BB248,Règles_bovins[Ration]&amp;Règles_bovins[Aliment],0)),0),0)*IF(ChoixBovinsPréHiver=OUI,TotalGénisse_24_36_RacesLaitières,TotalBovinsFemelles_24_36mois*NbreJoursNourrirBovins))</f>
        <v>0</v>
      </c>
      <c r="BE248" s="333">
        <f t="array" ref="BE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18-24],MATCH(ChoixRationBovins&amp;$BB248,Règles_bovins[Ration]&amp;Règles_bovins[Aliment],0)),0),0)*IF(ChoixBovinsPréHiver=OUI,TotalGénisse_18_24_RacesLaitières,TotalBovinsFemelles_18_24mois*NbreJoursNourrirBovins))</f>
        <v>0</v>
      </c>
      <c r="BF248" s="333">
        <f t="array" ref="BF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12-18],MATCH(ChoixRationBovins&amp;$BB248,Règles_bovins[Ration]&amp;Règles_bovins[Aliment],0)),0),0)*IF(ChoixBovinsPréHiver=OUI,TotalGénisse_12_18_RacesLaitières,TotalBovinsFemelles_12_18mois*NbreJoursNourrirBovins))</f>
        <v>0</v>
      </c>
      <c r="BG248" s="333">
        <f t="array" ref="BG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6-12],MATCH(ChoixRationBovins&amp;$BB248,Règles_bovins[Ration]&amp;Règles_bovins[Aliment],0)),0),0)*IF(ChoixBovinsPréHiver=OUI,TotalVeauFemelle_6_12_RacesLaitières,TotalBovinsFemelles_6_12mois*NbreJoursNourrirBovins))</f>
        <v>0</v>
      </c>
      <c r="BH248" s="333">
        <f t="array" ref="BH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3-6],MATCH(ChoixRationBovins&amp;$BB248,Règles_bovins[Ration]&amp;Règles_bovins[Aliment],0)),0),0)*IF(ChoixBovinsPréHiver=OUI,TotalVeauFemelle_3_6_RacesLaitières,TotalBovinsFemelles_3_6mois*NbreJoursNourrirBovins))</f>
        <v>0</v>
      </c>
      <c r="BI248" s="333">
        <f t="array" ref="BI248">IF(Ration_complète_bovins[somme]&gt;0,0,IFERROR(IF(OR(AND(INDEX(Règles_bovins[Specificite],MATCH(ChoixRationBovins&amp;$BB248,Règles_bovins[Ration]&amp;Règles_bovins[Aliment],0))="s1",IF($BB248=Spécificité1Bovins,1)),
AND(INDEX(Règles_bovins[Specificite],MATCH(ChoixRationBovins&amp;$BB248,Règles_bovins[Ration]&amp;Règles_bovins[Aliment],0))="s2",IF($BB248=Spécificité2Bovins,1)),
INDEX(Règles_bovins[Specificite],MATCH(ChoixRationBovins&amp;$BB248,Règles_bovins[Ration]&amp;Règles_bovins[Aliment],0))="c"),
INDEX(Règles_bovins[Valeur 0-3],MATCH(ChoixRationBovins&amp;$BB248,Règles_bovins[Ration]&amp;Règles_bovins[Aliment],0)),0),0)*IF(ChoixBovinsPréHiver=OUI,TotalVeauFemelle_0_3_RacesLaitières,TotalBovinsFemelles_0_3mois*NbreJoursNourrirBovins))</f>
        <v>0</v>
      </c>
      <c r="BJ248" s="334">
        <f t="shared" si="15"/>
        <v>0</v>
      </c>
      <c r="BK248" s="276"/>
      <c r="BX248" s="277"/>
      <c r="BY248" s="277"/>
      <c r="BZ248" s="277"/>
      <c r="CA248" s="277"/>
      <c r="CB248" s="277"/>
      <c r="CC248" s="277"/>
      <c r="CD248" s="295"/>
      <c r="CE248" s="295"/>
      <c r="CF248" s="295"/>
      <c r="CG248" s="295"/>
    </row>
    <row r="249" spans="1:86" ht="12.75" customHeight="1" x14ac:dyDescent="0.2">
      <c r="A249" s="276"/>
      <c r="B249" s="276"/>
      <c r="BB249" s="332" t="str">
        <f t="shared" si="16"/>
        <v>Féverole</v>
      </c>
      <c r="BC249" s="333">
        <f t="array" ref="BC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36 et plus],MATCH(ChoixRationBovins&amp;$BB249,Règles_bovins[Ration]&amp;Règles_bovins[Aliment],0)),0),0)*IF(ChoixBovinsPréHiver=OUI,TotalVachesRacesLaitières,TotalVaches*NbreJoursNourrirBovins))</f>
        <v>0</v>
      </c>
      <c r="BD249" s="333">
        <f t="array" ref="BD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24-36],MATCH(ChoixRationBovins&amp;$BB249,Règles_bovins[Ration]&amp;Règles_bovins[Aliment],0)),0),0)*IF(ChoixBovinsPréHiver=OUI,TotalGénisse_24_36_RacesLaitières,TotalBovinsFemelles_24_36mois*NbreJoursNourrirBovins))</f>
        <v>0</v>
      </c>
      <c r="BE249" s="333">
        <f t="array" ref="BE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18-24],MATCH(ChoixRationBovins&amp;$BB249,Règles_bovins[Ration]&amp;Règles_bovins[Aliment],0)),0),0)*IF(ChoixBovinsPréHiver=OUI,TotalGénisse_18_24_RacesLaitières,TotalBovinsFemelles_18_24mois*NbreJoursNourrirBovins))</f>
        <v>0</v>
      </c>
      <c r="BF249" s="333">
        <f t="array" ref="BF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12-18],MATCH(ChoixRationBovins&amp;$BB249,Règles_bovins[Ration]&amp;Règles_bovins[Aliment],0)),0),0)*IF(ChoixBovinsPréHiver=OUI,TotalGénisse_12_18_RacesLaitières,TotalBovinsFemelles_12_18mois*NbreJoursNourrirBovins))</f>
        <v>0</v>
      </c>
      <c r="BG249" s="333">
        <f t="array" ref="BG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6-12],MATCH(ChoixRationBovins&amp;$BB249,Règles_bovins[Ration]&amp;Règles_bovins[Aliment],0)),0),0)*IF(ChoixBovinsPréHiver=OUI,TotalVeauFemelle_6_12_RacesLaitières,TotalBovinsFemelles_6_12mois*NbreJoursNourrirBovins))</f>
        <v>0</v>
      </c>
      <c r="BH249" s="333">
        <f t="array" ref="BH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3-6],MATCH(ChoixRationBovins&amp;$BB249,Règles_bovins[Ration]&amp;Règles_bovins[Aliment],0)),0),0)*IF(ChoixBovinsPréHiver=OUI,TotalVeauFemelle_3_6_RacesLaitières,TotalBovinsFemelles_3_6mois*NbreJoursNourrirBovins))</f>
        <v>0</v>
      </c>
      <c r="BI249" s="333">
        <f t="array" ref="BI249">IF(Ration_complète_bovins[somme]&gt;0,0,IFERROR(IF(OR(AND(INDEX(Règles_bovins[Specificite],MATCH(ChoixRationBovins&amp;$BB249,Règles_bovins[Ration]&amp;Règles_bovins[Aliment],0))="s1",IF($BB249=Spécificité1Bovins,1)),
AND(INDEX(Règles_bovins[Specificite],MATCH(ChoixRationBovins&amp;$BB249,Règles_bovins[Ration]&amp;Règles_bovins[Aliment],0))="s2",IF($BB249=Spécificité2Bovins,1)),
INDEX(Règles_bovins[Specificite],MATCH(ChoixRationBovins&amp;$BB249,Règles_bovins[Ration]&amp;Règles_bovins[Aliment],0))="c"),
INDEX(Règles_bovins[Valeur 0-3],MATCH(ChoixRationBovins&amp;$BB249,Règles_bovins[Ration]&amp;Règles_bovins[Aliment],0)),0),0)*IF(ChoixBovinsPréHiver=OUI,TotalVeauFemelle_0_3_RacesLaitières,TotalBovinsFemelles_0_3mois*NbreJoursNourrirBovins))</f>
        <v>0</v>
      </c>
      <c r="BJ249" s="334">
        <f t="shared" si="15"/>
        <v>0</v>
      </c>
      <c r="BX249" s="277"/>
      <c r="BY249" s="277"/>
      <c r="BZ249" s="277"/>
      <c r="CA249" s="277"/>
      <c r="CB249" s="277"/>
      <c r="CC249" s="277"/>
      <c r="CD249" s="295"/>
      <c r="CE249" s="295"/>
      <c r="CF249" s="295"/>
      <c r="CG249" s="295"/>
    </row>
    <row r="250" spans="1:86" ht="12.75" customHeight="1" x14ac:dyDescent="0.2">
      <c r="A250" s="276"/>
      <c r="B250" s="276"/>
      <c r="BB250" s="332" t="str">
        <f t="shared" si="16"/>
        <v>Foin</v>
      </c>
      <c r="BC250" s="333">
        <f t="array" ref="BC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36 et plus],MATCH(ChoixRationBovins&amp;$BB250,Règles_bovins[Ration]&amp;Règles_bovins[Aliment],0)),0),0)*IF(ChoixBovinsPréHiver=OUI,TotalVachesRacesLaitières,TotalVaches*NbreJoursNourrirBovins))</f>
        <v>0</v>
      </c>
      <c r="BD250" s="333">
        <f t="array" ref="BD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24-36],MATCH(ChoixRationBovins&amp;$BB250,Règles_bovins[Ration]&amp;Règles_bovins[Aliment],0)),0),0)*IF(ChoixBovinsPréHiver=OUI,TotalGénisse_24_36_RacesLaitières,TotalBovinsFemelles_24_36mois*NbreJoursNourrirBovins))</f>
        <v>0</v>
      </c>
      <c r="BE250" s="333">
        <f t="array" ref="BE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18-24],MATCH(ChoixRationBovins&amp;$BB250,Règles_bovins[Ration]&amp;Règles_bovins[Aliment],0)),0),0)*IF(ChoixBovinsPréHiver=OUI,TotalGénisse_18_24_RacesLaitières,TotalBovinsFemelles_18_24mois*NbreJoursNourrirBovins))</f>
        <v>0</v>
      </c>
      <c r="BF250" s="333">
        <f t="array" ref="BF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12-18],MATCH(ChoixRationBovins&amp;$BB250,Règles_bovins[Ration]&amp;Règles_bovins[Aliment],0)),0),0)*IF(ChoixBovinsPréHiver=OUI,TotalGénisse_12_18_RacesLaitières,TotalBovinsFemelles_12_18mois*NbreJoursNourrirBovins))</f>
        <v>0</v>
      </c>
      <c r="BG250" s="333">
        <f t="array" ref="BG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6-12],MATCH(ChoixRationBovins&amp;$BB250,Règles_bovins[Ration]&amp;Règles_bovins[Aliment],0)),0),0)*IF(ChoixBovinsPréHiver=OUI,TotalVeauFemelle_6_12_RacesLaitières,TotalBovinsFemelles_6_12mois*NbreJoursNourrirBovins))</f>
        <v>0</v>
      </c>
      <c r="BH250" s="333">
        <f t="array" ref="BH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3-6],MATCH(ChoixRationBovins&amp;$BB250,Règles_bovins[Ration]&amp;Règles_bovins[Aliment],0)),0),0)*IF(ChoixBovinsPréHiver=OUI,TotalVeauFemelle_3_6_RacesLaitières,TotalBovinsFemelles_3_6mois*NbreJoursNourrirBovins))</f>
        <v>0</v>
      </c>
      <c r="BI250" s="333">
        <f t="array" ref="BI250">IF(Ration_complète_bovins[somme]&gt;0,0,IFERROR(IF(OR(AND(INDEX(Règles_bovins[Specificite],MATCH(ChoixRationBovins&amp;$BB250,Règles_bovins[Ration]&amp;Règles_bovins[Aliment],0))="s1",IF($BB250=Spécificité1Bovins,1)),
AND(INDEX(Règles_bovins[Specificite],MATCH(ChoixRationBovins&amp;$BB250,Règles_bovins[Ration]&amp;Règles_bovins[Aliment],0))="s2",IF($BB250=Spécificité2Bovins,1)),
INDEX(Règles_bovins[Specificite],MATCH(ChoixRationBovins&amp;$BB250,Règles_bovins[Ration]&amp;Règles_bovins[Aliment],0))="c"),
INDEX(Règles_bovins[Valeur 0-3],MATCH(ChoixRationBovins&amp;$BB250,Règles_bovins[Ration]&amp;Règles_bovins[Aliment],0)),0),0)*IF(ChoixBovinsPréHiver=OUI,TotalVeauFemelle_0_3_RacesLaitières,TotalBovinsFemelles_0_3mois*NbreJoursNourrirBovins))</f>
        <v>0</v>
      </c>
      <c r="BJ250" s="334">
        <f t="shared" si="15"/>
        <v>0</v>
      </c>
      <c r="BX250" s="277"/>
      <c r="BY250" s="277"/>
      <c r="BZ250" s="277"/>
      <c r="CA250" s="277"/>
      <c r="CB250" s="277"/>
      <c r="CC250" s="277"/>
      <c r="CD250" s="295"/>
      <c r="CE250" s="295"/>
      <c r="CF250" s="295"/>
      <c r="CG250" s="295"/>
    </row>
    <row r="251" spans="1:86" ht="12.75" customHeight="1" x14ac:dyDescent="0.2">
      <c r="A251" s="276"/>
      <c r="B251" s="276"/>
      <c r="BB251" s="332" t="str">
        <f t="shared" si="16"/>
        <v>Haricot vert</v>
      </c>
      <c r="BC251" s="333">
        <f t="array" ref="BC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36 et plus],MATCH(ChoixRationBovins&amp;$BB251,Règles_bovins[Ration]&amp;Règles_bovins[Aliment],0)),0),0)*IF(ChoixBovinsPréHiver=OUI,TotalVachesRacesLaitières,TotalVaches*NbreJoursNourrirBovins))</f>
        <v>0</v>
      </c>
      <c r="BD251" s="333">
        <f t="array" ref="BD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24-36],MATCH(ChoixRationBovins&amp;$BB251,Règles_bovins[Ration]&amp;Règles_bovins[Aliment],0)),0),0)*IF(ChoixBovinsPréHiver=OUI,TotalGénisse_24_36_RacesLaitières,TotalBovinsFemelles_24_36mois*NbreJoursNourrirBovins))</f>
        <v>0</v>
      </c>
      <c r="BE251" s="333">
        <f t="array" ref="BE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18-24],MATCH(ChoixRationBovins&amp;$BB251,Règles_bovins[Ration]&amp;Règles_bovins[Aliment],0)),0),0)*IF(ChoixBovinsPréHiver=OUI,TotalGénisse_18_24_RacesLaitières,TotalBovinsFemelles_18_24mois*NbreJoursNourrirBovins))</f>
        <v>0</v>
      </c>
      <c r="BF251" s="333">
        <f t="array" ref="BF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12-18],MATCH(ChoixRationBovins&amp;$BB251,Règles_bovins[Ration]&amp;Règles_bovins[Aliment],0)),0),0)*IF(ChoixBovinsPréHiver=OUI,TotalGénisse_12_18_RacesLaitières,TotalBovinsFemelles_12_18mois*NbreJoursNourrirBovins))</f>
        <v>0</v>
      </c>
      <c r="BG251" s="333">
        <f t="array" ref="BG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6-12],MATCH(ChoixRationBovins&amp;$BB251,Règles_bovins[Ration]&amp;Règles_bovins[Aliment],0)),0),0)*IF(ChoixBovinsPréHiver=OUI,TotalVeauFemelle_6_12_RacesLaitières,TotalBovinsFemelles_6_12mois*NbreJoursNourrirBovins))</f>
        <v>0</v>
      </c>
      <c r="BH251" s="333">
        <f t="array" ref="BH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3-6],MATCH(ChoixRationBovins&amp;$BB251,Règles_bovins[Ration]&amp;Règles_bovins[Aliment],0)),0),0)*IF(ChoixBovinsPréHiver=OUI,TotalVeauFemelle_3_6_RacesLaitières,TotalBovinsFemelles_3_6mois*NbreJoursNourrirBovins))</f>
        <v>0</v>
      </c>
      <c r="BI251" s="333">
        <f t="array" ref="BI251">IF(Ration_complète_bovins[somme]&gt;0,0,IFERROR(IF(OR(AND(INDEX(Règles_bovins[Specificite],MATCH(ChoixRationBovins&amp;$BB251,Règles_bovins[Ration]&amp;Règles_bovins[Aliment],0))="s1",IF($BB251=Spécificité1Bovins,1)),
AND(INDEX(Règles_bovins[Specificite],MATCH(ChoixRationBovins&amp;$BB251,Règles_bovins[Ration]&amp;Règles_bovins[Aliment],0))="s2",IF($BB251=Spécificité2Bovins,1)),
INDEX(Règles_bovins[Specificite],MATCH(ChoixRationBovins&amp;$BB251,Règles_bovins[Ration]&amp;Règles_bovins[Aliment],0))="c"),
INDEX(Règles_bovins[Valeur 0-3],MATCH(ChoixRationBovins&amp;$BB251,Règles_bovins[Ration]&amp;Règles_bovins[Aliment],0)),0),0)*IF(ChoixBovinsPréHiver=OUI,TotalVeauFemelle_0_3_RacesLaitières,TotalBovinsFemelles_0_3mois*NbreJoursNourrirBovins))</f>
        <v>0</v>
      </c>
      <c r="BJ251" s="334">
        <f t="shared" si="15"/>
        <v>0</v>
      </c>
      <c r="BX251" s="277"/>
      <c r="BY251" s="456"/>
      <c r="BZ251" s="456"/>
      <c r="CA251" s="456"/>
      <c r="CB251" s="456"/>
      <c r="CC251" s="456"/>
      <c r="CD251" s="295"/>
      <c r="CE251" s="295"/>
      <c r="CF251" s="295"/>
      <c r="CG251" s="295"/>
    </row>
    <row r="252" spans="1:86" ht="12.75" customHeight="1" x14ac:dyDescent="0.2">
      <c r="A252" s="276"/>
      <c r="B252" s="276"/>
      <c r="BB252" s="332" t="str">
        <f t="shared" si="16"/>
        <v>Lentille</v>
      </c>
      <c r="BC252" s="333">
        <f t="array" ref="BC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36 et plus],MATCH(ChoixRationBovins&amp;$BB252,Règles_bovins[Ration]&amp;Règles_bovins[Aliment],0)),0),0)*IF(ChoixBovinsPréHiver=OUI,TotalVachesRacesLaitières,TotalVaches*NbreJoursNourrirBovins))</f>
        <v>0</v>
      </c>
      <c r="BD252" s="333">
        <f t="array" ref="BD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24-36],MATCH(ChoixRationBovins&amp;$BB252,Règles_bovins[Ration]&amp;Règles_bovins[Aliment],0)),0),0)*IF(ChoixBovinsPréHiver=OUI,TotalGénisse_24_36_RacesLaitières,TotalBovinsFemelles_24_36mois*NbreJoursNourrirBovins))</f>
        <v>0</v>
      </c>
      <c r="BE252" s="333">
        <f t="array" ref="BE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18-24],MATCH(ChoixRationBovins&amp;$BB252,Règles_bovins[Ration]&amp;Règles_bovins[Aliment],0)),0),0)*IF(ChoixBovinsPréHiver=OUI,TotalGénisse_18_24_RacesLaitières,TotalBovinsFemelles_18_24mois*NbreJoursNourrirBovins))</f>
        <v>0</v>
      </c>
      <c r="BF252" s="333">
        <f t="array" ref="BF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12-18],MATCH(ChoixRationBovins&amp;$BB252,Règles_bovins[Ration]&amp;Règles_bovins[Aliment],0)),0),0)*IF(ChoixBovinsPréHiver=OUI,TotalGénisse_12_18_RacesLaitières,TotalBovinsFemelles_12_18mois*NbreJoursNourrirBovins))</f>
        <v>0</v>
      </c>
      <c r="BG252" s="333">
        <f t="array" ref="BG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6-12],MATCH(ChoixRationBovins&amp;$BB252,Règles_bovins[Ration]&amp;Règles_bovins[Aliment],0)),0),0)*IF(ChoixBovinsPréHiver=OUI,TotalVeauFemelle_6_12_RacesLaitières,TotalBovinsFemelles_6_12mois*NbreJoursNourrirBovins))</f>
        <v>0</v>
      </c>
      <c r="BH252" s="333">
        <f t="array" ref="BH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3-6],MATCH(ChoixRationBovins&amp;$BB252,Règles_bovins[Ration]&amp;Règles_bovins[Aliment],0)),0),0)*IF(ChoixBovinsPréHiver=OUI,TotalVeauFemelle_3_6_RacesLaitières,TotalBovinsFemelles_3_6mois*NbreJoursNourrirBovins))</f>
        <v>0</v>
      </c>
      <c r="BI252" s="333">
        <f t="array" ref="BI252">IF(Ration_complète_bovins[somme]&gt;0,0,IFERROR(IF(OR(AND(INDEX(Règles_bovins[Specificite],MATCH(ChoixRationBovins&amp;$BB252,Règles_bovins[Ration]&amp;Règles_bovins[Aliment],0))="s1",IF($BB252=Spécificité1Bovins,1)),
AND(INDEX(Règles_bovins[Specificite],MATCH(ChoixRationBovins&amp;$BB252,Règles_bovins[Ration]&amp;Règles_bovins[Aliment],0))="s2",IF($BB252=Spécificité2Bovins,1)),
INDEX(Règles_bovins[Specificite],MATCH(ChoixRationBovins&amp;$BB252,Règles_bovins[Ration]&amp;Règles_bovins[Aliment],0))="c"),
INDEX(Règles_bovins[Valeur 0-3],MATCH(ChoixRationBovins&amp;$BB252,Règles_bovins[Ration]&amp;Règles_bovins[Aliment],0)),0),0)*IF(ChoixBovinsPréHiver=OUI,TotalVeauFemelle_0_3_RacesLaitières,TotalBovinsFemelles_0_3mois*NbreJoursNourrirBovins))</f>
        <v>0</v>
      </c>
      <c r="BJ252" s="334">
        <f t="shared" si="15"/>
        <v>0</v>
      </c>
      <c r="BX252" s="277"/>
      <c r="BY252" s="277"/>
      <c r="BZ252" s="279"/>
      <c r="CA252" s="279"/>
      <c r="CB252" s="279"/>
      <c r="CC252" s="279"/>
      <c r="CD252" s="295"/>
      <c r="CE252" s="295"/>
      <c r="CF252" s="295"/>
      <c r="CG252" s="295"/>
    </row>
    <row r="253" spans="1:86" ht="12.75" customHeight="1" x14ac:dyDescent="0.2">
      <c r="A253" s="276"/>
      <c r="B253" s="276"/>
      <c r="BB253" s="332" t="str">
        <f t="shared" si="16"/>
        <v>Maïs ensilé</v>
      </c>
      <c r="BC253" s="333">
        <f t="array" ref="BC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36 et plus],MATCH(ChoixRationBovins&amp;$BB253,Règles_bovins[Ration]&amp;Règles_bovins[Aliment],0)),0),0)*IF(ChoixBovinsPréHiver=OUI,TotalVachesRacesLaitières,TotalVaches*NbreJoursNourrirBovins))</f>
        <v>0</v>
      </c>
      <c r="BD253" s="333">
        <f t="array" ref="BD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24-36],MATCH(ChoixRationBovins&amp;$BB253,Règles_bovins[Ration]&amp;Règles_bovins[Aliment],0)),0),0)*IF(ChoixBovinsPréHiver=OUI,TotalGénisse_24_36_RacesLaitières,TotalBovinsFemelles_24_36mois*NbreJoursNourrirBovins))</f>
        <v>0</v>
      </c>
      <c r="BE253" s="333">
        <f t="array" ref="BE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18-24],MATCH(ChoixRationBovins&amp;$BB253,Règles_bovins[Ration]&amp;Règles_bovins[Aliment],0)),0),0)*IF(ChoixBovinsPréHiver=OUI,TotalGénisse_18_24_RacesLaitières,TotalBovinsFemelles_18_24mois*NbreJoursNourrirBovins))</f>
        <v>0</v>
      </c>
      <c r="BF253" s="333">
        <f t="array" ref="BF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12-18],MATCH(ChoixRationBovins&amp;$BB253,Règles_bovins[Ration]&amp;Règles_bovins[Aliment],0)),0),0)*IF(ChoixBovinsPréHiver=OUI,TotalGénisse_12_18_RacesLaitières,TotalBovinsFemelles_12_18mois*NbreJoursNourrirBovins))</f>
        <v>0</v>
      </c>
      <c r="BG253" s="333">
        <f t="array" ref="BG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6-12],MATCH(ChoixRationBovins&amp;$BB253,Règles_bovins[Ration]&amp;Règles_bovins[Aliment],0)),0),0)*IF(ChoixBovinsPréHiver=OUI,TotalVeauFemelle_6_12_RacesLaitières,TotalBovinsFemelles_6_12mois*NbreJoursNourrirBovins))</f>
        <v>0</v>
      </c>
      <c r="BH253" s="333">
        <f t="array" ref="BH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3-6],MATCH(ChoixRationBovins&amp;$BB253,Règles_bovins[Ration]&amp;Règles_bovins[Aliment],0)),0),0)*IF(ChoixBovinsPréHiver=OUI,TotalVeauFemelle_3_6_RacesLaitières,TotalBovinsFemelles_3_6mois*NbreJoursNourrirBovins))</f>
        <v>0</v>
      </c>
      <c r="BI253" s="333">
        <f t="array" ref="BI253">IF(Ration_complète_bovins[somme]&gt;0,0,IFERROR(IF(OR(AND(INDEX(Règles_bovins[Specificite],MATCH(ChoixRationBovins&amp;$BB253,Règles_bovins[Ration]&amp;Règles_bovins[Aliment],0))="s1",IF($BB253=Spécificité1Bovins,1)),
AND(INDEX(Règles_bovins[Specificite],MATCH(ChoixRationBovins&amp;$BB253,Règles_bovins[Ration]&amp;Règles_bovins[Aliment],0))="s2",IF($BB253=Spécificité2Bovins,1)),
INDEX(Règles_bovins[Specificite],MATCH(ChoixRationBovins&amp;$BB253,Règles_bovins[Ration]&amp;Règles_bovins[Aliment],0))="c"),
INDEX(Règles_bovins[Valeur 0-3],MATCH(ChoixRationBovins&amp;$BB253,Règles_bovins[Ration]&amp;Règles_bovins[Aliment],0)),0),0)*IF(ChoixBovinsPréHiver=OUI,TotalVeauFemelle_0_3_RacesLaitières,TotalBovinsFemelles_0_3mois*NbreJoursNourrirBovins))</f>
        <v>0</v>
      </c>
      <c r="BJ253" s="334">
        <f t="shared" si="15"/>
        <v>0</v>
      </c>
      <c r="BX253" s="277"/>
      <c r="BY253" s="277"/>
      <c r="BZ253" s="279"/>
      <c r="CA253" s="279"/>
      <c r="CB253" s="279"/>
      <c r="CC253" s="279"/>
      <c r="CD253" s="295"/>
      <c r="CE253" s="295"/>
      <c r="CF253" s="295"/>
      <c r="CG253" s="295"/>
    </row>
    <row r="254" spans="1:86" ht="12.75" customHeight="1" x14ac:dyDescent="0.2">
      <c r="A254" s="276"/>
      <c r="B254" s="276"/>
      <c r="BB254" s="332" t="str">
        <f t="shared" si="16"/>
        <v>Maïs grain</v>
      </c>
      <c r="BC254" s="333">
        <f t="array" ref="BC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36 et plus],MATCH(ChoixRationBovins&amp;$BB254,Règles_bovins[Ration]&amp;Règles_bovins[Aliment],0)),0),0)*IF(ChoixBovinsPréHiver=OUI,TotalVachesRacesLaitières,TotalVaches*NbreJoursNourrirBovins))</f>
        <v>0</v>
      </c>
      <c r="BD254" s="333">
        <f t="array" ref="BD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24-36],MATCH(ChoixRationBovins&amp;$BB254,Règles_bovins[Ration]&amp;Règles_bovins[Aliment],0)),0),0)*IF(ChoixBovinsPréHiver=OUI,TotalGénisse_24_36_RacesLaitières,TotalBovinsFemelles_24_36mois*NbreJoursNourrirBovins))</f>
        <v>0</v>
      </c>
      <c r="BE254" s="333">
        <f t="array" ref="BE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18-24],MATCH(ChoixRationBovins&amp;$BB254,Règles_bovins[Ration]&amp;Règles_bovins[Aliment],0)),0),0)*IF(ChoixBovinsPréHiver=OUI,TotalGénisse_18_24_RacesLaitières,TotalBovinsFemelles_18_24mois*NbreJoursNourrirBovins))</f>
        <v>0</v>
      </c>
      <c r="BF254" s="333">
        <f t="array" ref="BF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12-18],MATCH(ChoixRationBovins&amp;$BB254,Règles_bovins[Ration]&amp;Règles_bovins[Aliment],0)),0),0)*IF(ChoixBovinsPréHiver=OUI,TotalGénisse_12_18_RacesLaitières,TotalBovinsFemelles_12_18mois*NbreJoursNourrirBovins))</f>
        <v>0</v>
      </c>
      <c r="BG254" s="333">
        <f t="array" ref="BG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6-12],MATCH(ChoixRationBovins&amp;$BB254,Règles_bovins[Ration]&amp;Règles_bovins[Aliment],0)),0),0)*IF(ChoixBovinsPréHiver=OUI,TotalVeauFemelle_6_12_RacesLaitières,TotalBovinsFemelles_6_12mois*NbreJoursNourrirBovins))</f>
        <v>0</v>
      </c>
      <c r="BH254" s="333">
        <f t="array" ref="BH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3-6],MATCH(ChoixRationBovins&amp;$BB254,Règles_bovins[Ration]&amp;Règles_bovins[Aliment],0)),0),0)*IF(ChoixBovinsPréHiver=OUI,TotalVeauFemelle_3_6_RacesLaitières,TotalBovinsFemelles_3_6mois*NbreJoursNourrirBovins))</f>
        <v>0</v>
      </c>
      <c r="BI254" s="333">
        <f t="array" ref="BI254">IF(Ration_complète_bovins[somme]&gt;0,0,IFERROR(IF(OR(AND(INDEX(Règles_bovins[Specificite],MATCH(ChoixRationBovins&amp;$BB254,Règles_bovins[Ration]&amp;Règles_bovins[Aliment],0))="s1",IF($BB254=Spécificité1Bovins,1)),
AND(INDEX(Règles_bovins[Specificite],MATCH(ChoixRationBovins&amp;$BB254,Règles_bovins[Ration]&amp;Règles_bovins[Aliment],0))="s2",IF($BB254=Spécificité2Bovins,1)),
INDEX(Règles_bovins[Specificite],MATCH(ChoixRationBovins&amp;$BB254,Règles_bovins[Ration]&amp;Règles_bovins[Aliment],0))="c"),
INDEX(Règles_bovins[Valeur 0-3],MATCH(ChoixRationBovins&amp;$BB254,Règles_bovins[Ration]&amp;Règles_bovins[Aliment],0)),0),0)*IF(ChoixBovinsPréHiver=OUI,TotalVeauFemelle_0_3_RacesLaitières,TotalBovinsFemelles_0_3mois*NbreJoursNourrirBovins))</f>
        <v>0</v>
      </c>
      <c r="BJ254" s="334">
        <f t="shared" si="15"/>
        <v>0</v>
      </c>
      <c r="BX254" s="277"/>
      <c r="BY254" s="277"/>
      <c r="BZ254" s="279"/>
      <c r="CA254" s="279"/>
      <c r="CB254" s="279"/>
      <c r="CC254" s="279"/>
      <c r="CD254" s="295"/>
      <c r="CE254" s="295"/>
      <c r="CF254" s="295"/>
      <c r="CG254" s="295"/>
    </row>
    <row r="255" spans="1:86" ht="12.75" customHeight="1" x14ac:dyDescent="0.2">
      <c r="A255" s="276"/>
      <c r="B255" s="276"/>
      <c r="BB255" s="332" t="str">
        <f t="shared" si="16"/>
        <v>Minéraux + vitamines</v>
      </c>
      <c r="BC255" s="333">
        <f t="array" ref="BC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36 et plus],MATCH(ChoixRationBovins&amp;$BB255,Règles_bovins[Ration]&amp;Règles_bovins[Aliment],0)),0),0)*IF(ChoixBovinsPréHiver=OUI,TotalVachesRacesLaitières,TotalVaches*NbreJoursNourrirBovins))</f>
        <v>0</v>
      </c>
      <c r="BD255" s="333">
        <f t="array" ref="BD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24-36],MATCH(ChoixRationBovins&amp;$BB255,Règles_bovins[Ration]&amp;Règles_bovins[Aliment],0)),0),0)*IF(ChoixBovinsPréHiver=OUI,TotalGénisse_24_36_RacesLaitières,TotalBovinsFemelles_24_36mois*NbreJoursNourrirBovins))</f>
        <v>0</v>
      </c>
      <c r="BE255" s="333">
        <f t="array" ref="BE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18-24],MATCH(ChoixRationBovins&amp;$BB255,Règles_bovins[Ration]&amp;Règles_bovins[Aliment],0)),0),0)*IF(ChoixBovinsPréHiver=OUI,TotalGénisse_18_24_RacesLaitières,TotalBovinsFemelles_18_24mois*NbreJoursNourrirBovins))</f>
        <v>0</v>
      </c>
      <c r="BF255" s="333">
        <f t="array" ref="BF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12-18],MATCH(ChoixRationBovins&amp;$BB255,Règles_bovins[Ration]&amp;Règles_bovins[Aliment],0)),0),0)*IF(ChoixBovinsPréHiver=OUI,TotalGénisse_12_18_RacesLaitières,TotalBovinsFemelles_12_18mois*NbreJoursNourrirBovins))</f>
        <v>0</v>
      </c>
      <c r="BG255" s="333">
        <f t="array" ref="BG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6-12],MATCH(ChoixRationBovins&amp;$BB255,Règles_bovins[Ration]&amp;Règles_bovins[Aliment],0)),0),0)*IF(ChoixBovinsPréHiver=OUI,TotalVeauFemelle_6_12_RacesLaitières,TotalBovinsFemelles_6_12mois*NbreJoursNourrirBovins))</f>
        <v>0</v>
      </c>
      <c r="BH255" s="333">
        <f t="array" ref="BH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3-6],MATCH(ChoixRationBovins&amp;$BB255,Règles_bovins[Ration]&amp;Règles_bovins[Aliment],0)),0),0)*IF(ChoixBovinsPréHiver=OUI,TotalVeauFemelle_3_6_RacesLaitières,TotalBovinsFemelles_3_6mois*NbreJoursNourrirBovins))</f>
        <v>0</v>
      </c>
      <c r="BI255" s="333">
        <f t="array" ref="BI255">IF(Ration_complète_bovins[somme]&gt;0,0,IFERROR(IF(OR(AND(INDEX(Règles_bovins[Specificite],MATCH(ChoixRationBovins&amp;$BB255,Règles_bovins[Ration]&amp;Règles_bovins[Aliment],0))="s1",IF($BB255=Spécificité1Bovins,1)),
AND(INDEX(Règles_bovins[Specificite],MATCH(ChoixRationBovins&amp;$BB255,Règles_bovins[Ration]&amp;Règles_bovins[Aliment],0))="s2",IF($BB255=Spécificité2Bovins,1)),
INDEX(Règles_bovins[Specificite],MATCH(ChoixRationBovins&amp;$BB255,Règles_bovins[Ration]&amp;Règles_bovins[Aliment],0))="c"),
INDEX(Règles_bovins[Valeur 0-3],MATCH(ChoixRationBovins&amp;$BB255,Règles_bovins[Ration]&amp;Règles_bovins[Aliment],0)),0),0)*IF(ChoixBovinsPréHiver=OUI,TotalVeauFemelle_0_3_RacesLaitières,TotalBovinsFemelles_0_3mois*NbreJoursNourrirBovins))</f>
        <v>0</v>
      </c>
      <c r="BJ255" s="334">
        <f t="shared" si="15"/>
        <v>0</v>
      </c>
      <c r="BX255" s="277"/>
      <c r="BY255" s="277"/>
      <c r="BZ255" s="279"/>
      <c r="CA255" s="279"/>
      <c r="CB255" s="279"/>
      <c r="CC255" s="279"/>
      <c r="CD255" s="295"/>
      <c r="CE255" s="295"/>
      <c r="CF255" s="295"/>
      <c r="CG255" s="295"/>
    </row>
    <row r="256" spans="1:86" ht="12.75" customHeight="1" x14ac:dyDescent="0.2">
      <c r="A256" s="276"/>
      <c r="B256" s="276"/>
      <c r="BB256" s="332" t="str">
        <f t="shared" si="16"/>
        <v>Orge</v>
      </c>
      <c r="BC256" s="333">
        <f t="array" ref="BC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36 et plus],MATCH(ChoixRationBovins&amp;$BB256,Règles_bovins[Ration]&amp;Règles_bovins[Aliment],0)),0),0)*IF(ChoixBovinsPréHiver=OUI,TotalVachesRacesLaitières,TotalVaches*NbreJoursNourrirBovins))</f>
        <v>0</v>
      </c>
      <c r="BD256" s="333">
        <f t="array" ref="BD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24-36],MATCH(ChoixRationBovins&amp;$BB256,Règles_bovins[Ration]&amp;Règles_bovins[Aliment],0)),0),0)*IF(ChoixBovinsPréHiver=OUI,TotalGénisse_24_36_RacesLaitières,TotalBovinsFemelles_24_36mois*NbreJoursNourrirBovins))</f>
        <v>0</v>
      </c>
      <c r="BE256" s="333">
        <f t="array" ref="BE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18-24],MATCH(ChoixRationBovins&amp;$BB256,Règles_bovins[Ration]&amp;Règles_bovins[Aliment],0)),0),0)*IF(ChoixBovinsPréHiver=OUI,TotalGénisse_18_24_RacesLaitières,TotalBovinsFemelles_18_24mois*NbreJoursNourrirBovins))</f>
        <v>0</v>
      </c>
      <c r="BF256" s="333">
        <f t="array" ref="BF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12-18],MATCH(ChoixRationBovins&amp;$BB256,Règles_bovins[Ration]&amp;Règles_bovins[Aliment],0)),0),0)*IF(ChoixBovinsPréHiver=OUI,TotalGénisse_12_18_RacesLaitières,TotalBovinsFemelles_12_18mois*NbreJoursNourrirBovins))</f>
        <v>0</v>
      </c>
      <c r="BG256" s="333">
        <f t="array" ref="BG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6-12],MATCH(ChoixRationBovins&amp;$BB256,Règles_bovins[Ration]&amp;Règles_bovins[Aliment],0)),0),0)*IF(ChoixBovinsPréHiver=OUI,TotalVeauFemelle_6_12_RacesLaitières,TotalBovinsFemelles_6_12mois*NbreJoursNourrirBovins))</f>
        <v>0</v>
      </c>
      <c r="BH256" s="333">
        <f t="array" ref="BH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3-6],MATCH(ChoixRationBovins&amp;$BB256,Règles_bovins[Ration]&amp;Règles_bovins[Aliment],0)),0),0)*IF(ChoixBovinsPréHiver=OUI,TotalVeauFemelle_3_6_RacesLaitières,TotalBovinsFemelles_3_6mois*NbreJoursNourrirBovins))</f>
        <v>0</v>
      </c>
      <c r="BI256" s="333">
        <f t="array" ref="BI256">IF(Ration_complète_bovins[somme]&gt;0,0,IFERROR(IF(OR(AND(INDEX(Règles_bovins[Specificite],MATCH(ChoixRationBovins&amp;$BB256,Règles_bovins[Ration]&amp;Règles_bovins[Aliment],0))="s1",IF($BB256=Spécificité1Bovins,1)),
AND(INDEX(Règles_bovins[Specificite],MATCH(ChoixRationBovins&amp;$BB256,Règles_bovins[Ration]&amp;Règles_bovins[Aliment],0))="s2",IF($BB256=Spécificité2Bovins,1)),
INDEX(Règles_bovins[Specificite],MATCH(ChoixRationBovins&amp;$BB256,Règles_bovins[Ration]&amp;Règles_bovins[Aliment],0))="c"),
INDEX(Règles_bovins[Valeur 0-3],MATCH(ChoixRationBovins&amp;$BB256,Règles_bovins[Ration]&amp;Règles_bovins[Aliment],0)),0),0)*IF(ChoixBovinsPréHiver=OUI,TotalVeauFemelle_0_3_RacesLaitières,TotalBovinsFemelles_0_3mois*NbreJoursNourrirBovins))</f>
        <v>0</v>
      </c>
      <c r="BJ256" s="334">
        <f t="shared" si="15"/>
        <v>0</v>
      </c>
      <c r="BX256" s="277"/>
      <c r="BY256" s="277"/>
      <c r="BZ256" s="279"/>
      <c r="CA256" s="279"/>
      <c r="CB256" s="279"/>
      <c r="CC256" s="279"/>
      <c r="CD256" s="295"/>
      <c r="CE256" s="295"/>
      <c r="CF256" s="295"/>
      <c r="CG256" s="295"/>
    </row>
    <row r="257" spans="1:85" ht="12.75" customHeight="1" x14ac:dyDescent="0.2">
      <c r="A257" s="276"/>
      <c r="B257" s="276"/>
      <c r="BB257" s="332" t="str">
        <f t="shared" si="16"/>
        <v>Paille</v>
      </c>
      <c r="BC257" s="333">
        <f t="array" ref="BC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36 et plus],MATCH(ChoixRationBovins&amp;$BB257,Règles_bovins[Ration]&amp;Règles_bovins[Aliment],0)),0),0)*IF(ChoixBovinsPréHiver=OUI,TotalVachesRacesLaitières,TotalVaches*NbreJoursNourrirBovins))</f>
        <v>0</v>
      </c>
      <c r="BD257" s="333">
        <f t="array" ref="BD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24-36],MATCH(ChoixRationBovins&amp;$BB257,Règles_bovins[Ration]&amp;Règles_bovins[Aliment],0)),0),0)*IF(ChoixBovinsPréHiver=OUI,TotalGénisse_24_36_RacesLaitières,TotalBovinsFemelles_24_36mois*NbreJoursNourrirBovins))</f>
        <v>0</v>
      </c>
      <c r="BE257" s="333">
        <f t="array" ref="BE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18-24],MATCH(ChoixRationBovins&amp;$BB257,Règles_bovins[Ration]&amp;Règles_bovins[Aliment],0)),0),0)*IF(ChoixBovinsPréHiver=OUI,TotalGénisse_18_24_RacesLaitières,TotalBovinsFemelles_18_24mois*NbreJoursNourrirBovins))</f>
        <v>0</v>
      </c>
      <c r="BF257" s="333">
        <f t="array" ref="BF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12-18],MATCH(ChoixRationBovins&amp;$BB257,Règles_bovins[Ration]&amp;Règles_bovins[Aliment],0)),0),0)*IF(ChoixBovinsPréHiver=OUI,TotalGénisse_12_18_RacesLaitières,TotalBovinsFemelles_12_18mois*NbreJoursNourrirBovins))</f>
        <v>0</v>
      </c>
      <c r="BG257" s="333">
        <f t="array" ref="BG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6-12],MATCH(ChoixRationBovins&amp;$BB257,Règles_bovins[Ration]&amp;Règles_bovins[Aliment],0)),0),0)*IF(ChoixBovinsPréHiver=OUI,TotalVeauFemelle_6_12_RacesLaitières,TotalBovinsFemelles_6_12mois*NbreJoursNourrirBovins))</f>
        <v>0</v>
      </c>
      <c r="BH257" s="333">
        <f t="array" ref="BH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3-6],MATCH(ChoixRationBovins&amp;$BB257,Règles_bovins[Ration]&amp;Règles_bovins[Aliment],0)),0),0)*IF(ChoixBovinsPréHiver=OUI,TotalVeauFemelle_3_6_RacesLaitières,TotalBovinsFemelles_3_6mois*NbreJoursNourrirBovins))</f>
        <v>0</v>
      </c>
      <c r="BI257" s="333">
        <f t="array" ref="BI257">IF(Ration_complète_bovins[somme]&gt;0,0,IFERROR(IF(OR(AND(INDEX(Règles_bovins[Specificite],MATCH(ChoixRationBovins&amp;$BB257,Règles_bovins[Ration]&amp;Règles_bovins[Aliment],0))="s1",IF($BB257=Spécificité1Bovins,1)),
AND(INDEX(Règles_bovins[Specificite],MATCH(ChoixRationBovins&amp;$BB257,Règles_bovins[Ration]&amp;Règles_bovins[Aliment],0))="s2",IF($BB257=Spécificité2Bovins,1)),
INDEX(Règles_bovins[Specificite],MATCH(ChoixRationBovins&amp;$BB257,Règles_bovins[Ration]&amp;Règles_bovins[Aliment],0))="c"),
INDEX(Règles_bovins[Valeur 0-3],MATCH(ChoixRationBovins&amp;$BB257,Règles_bovins[Ration]&amp;Règles_bovins[Aliment],0)),0),0)*IF(ChoixBovinsPréHiver=OUI,TotalVeauFemelle_0_3_RacesLaitières,TotalBovinsFemelles_0_3mois*NbreJoursNourrirBovins))</f>
        <v>0</v>
      </c>
      <c r="BJ257" s="334">
        <f t="shared" si="15"/>
        <v>0</v>
      </c>
      <c r="BX257" s="277"/>
      <c r="BY257" s="277"/>
      <c r="BZ257" s="279"/>
      <c r="CA257" s="279"/>
      <c r="CB257" s="279"/>
      <c r="CC257" s="279"/>
      <c r="CD257" s="295"/>
      <c r="CE257" s="295"/>
      <c r="CF257" s="295"/>
      <c r="CG257" s="295"/>
    </row>
    <row r="258" spans="1:85" ht="12.75" customHeight="1" x14ac:dyDescent="0.2">
      <c r="A258" s="276"/>
      <c r="B258" s="276"/>
      <c r="BB258" s="332" t="str">
        <f t="shared" si="16"/>
        <v>Pois</v>
      </c>
      <c r="BC258" s="333">
        <f t="array" ref="BC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36 et plus],MATCH(ChoixRationBovins&amp;$BB258,Règles_bovins[Ration]&amp;Règles_bovins[Aliment],0)),0),0)*IF(ChoixBovinsPréHiver=OUI,TotalVachesRacesLaitières,TotalVaches*NbreJoursNourrirBovins))</f>
        <v>0</v>
      </c>
      <c r="BD258" s="333">
        <f t="array" ref="BD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24-36],MATCH(ChoixRationBovins&amp;$BB258,Règles_bovins[Ration]&amp;Règles_bovins[Aliment],0)),0),0)*IF(ChoixBovinsPréHiver=OUI,TotalGénisse_24_36_RacesLaitières,TotalBovinsFemelles_24_36mois*NbreJoursNourrirBovins))</f>
        <v>0</v>
      </c>
      <c r="BE258" s="333">
        <f t="array" ref="BE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18-24],MATCH(ChoixRationBovins&amp;$BB258,Règles_bovins[Ration]&amp;Règles_bovins[Aliment],0)),0),0)*IF(ChoixBovinsPréHiver=OUI,TotalGénisse_18_24_RacesLaitières,TotalBovinsFemelles_18_24mois*NbreJoursNourrirBovins))</f>
        <v>0</v>
      </c>
      <c r="BF258" s="333">
        <f t="array" ref="BF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12-18],MATCH(ChoixRationBovins&amp;$BB258,Règles_bovins[Ration]&amp;Règles_bovins[Aliment],0)),0),0)*IF(ChoixBovinsPréHiver=OUI,TotalGénisse_12_18_RacesLaitières,TotalBovinsFemelles_12_18mois*NbreJoursNourrirBovins))</f>
        <v>0</v>
      </c>
      <c r="BG258" s="333">
        <f t="array" ref="BG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6-12],MATCH(ChoixRationBovins&amp;$BB258,Règles_bovins[Ration]&amp;Règles_bovins[Aliment],0)),0),0)*IF(ChoixBovinsPréHiver=OUI,TotalVeauFemelle_6_12_RacesLaitières,TotalBovinsFemelles_6_12mois*NbreJoursNourrirBovins))</f>
        <v>0</v>
      </c>
      <c r="BH258" s="333">
        <f t="array" ref="BH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3-6],MATCH(ChoixRationBovins&amp;$BB258,Règles_bovins[Ration]&amp;Règles_bovins[Aliment],0)),0),0)*IF(ChoixBovinsPréHiver=OUI,TotalVeauFemelle_3_6_RacesLaitières,TotalBovinsFemelles_3_6mois*NbreJoursNourrirBovins))</f>
        <v>0</v>
      </c>
      <c r="BI258" s="333">
        <f t="array" ref="BI258">IF(Ration_complète_bovins[somme]&gt;0,0,IFERROR(IF(OR(AND(INDEX(Règles_bovins[Specificite],MATCH(ChoixRationBovins&amp;$BB258,Règles_bovins[Ration]&amp;Règles_bovins[Aliment],0))="s1",IF($BB258=Spécificité1Bovins,1)),
AND(INDEX(Règles_bovins[Specificite],MATCH(ChoixRationBovins&amp;$BB258,Règles_bovins[Ration]&amp;Règles_bovins[Aliment],0))="s2",IF($BB258=Spécificité2Bovins,1)),
INDEX(Règles_bovins[Specificite],MATCH(ChoixRationBovins&amp;$BB258,Règles_bovins[Ration]&amp;Règles_bovins[Aliment],0))="c"),
INDEX(Règles_bovins[Valeur 0-3],MATCH(ChoixRationBovins&amp;$BB258,Règles_bovins[Ration]&amp;Règles_bovins[Aliment],0)),0),0)*IF(ChoixBovinsPréHiver=OUI,TotalVeauFemelle_0_3_RacesLaitières,TotalBovinsFemelles_0_3mois*NbreJoursNourrirBovins))</f>
        <v>0</v>
      </c>
      <c r="BJ258" s="334">
        <f t="shared" si="15"/>
        <v>0</v>
      </c>
      <c r="BX258" s="277"/>
      <c r="BY258" s="277"/>
      <c r="BZ258" s="279"/>
      <c r="CA258" s="279"/>
      <c r="CB258" s="279"/>
      <c r="CC258" s="279"/>
      <c r="CD258" s="295"/>
      <c r="CE258" s="295"/>
      <c r="CF258" s="295"/>
      <c r="CG258" s="295"/>
    </row>
    <row r="259" spans="1:85" ht="12.75" customHeight="1" x14ac:dyDescent="0.2">
      <c r="A259" s="276"/>
      <c r="B259" s="276"/>
      <c r="BB259" s="332" t="str">
        <f t="shared" si="16"/>
        <v>Pomme de terre</v>
      </c>
      <c r="BC259" s="333">
        <f t="array" ref="BC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36 et plus],MATCH(ChoixRationBovins&amp;$BB259,Règles_bovins[Ration]&amp;Règles_bovins[Aliment],0)),0),0)*IF(ChoixBovinsPréHiver=OUI,TotalVachesRacesLaitières,TotalVaches*NbreJoursNourrirBovins))</f>
        <v>0</v>
      </c>
      <c r="BD259" s="333">
        <f t="array" ref="BD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24-36],MATCH(ChoixRationBovins&amp;$BB259,Règles_bovins[Ration]&amp;Règles_bovins[Aliment],0)),0),0)*IF(ChoixBovinsPréHiver=OUI,TotalGénisse_24_36_RacesLaitières,TotalBovinsFemelles_24_36mois*NbreJoursNourrirBovins))</f>
        <v>0</v>
      </c>
      <c r="BE259" s="333">
        <f t="array" ref="BE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18-24],MATCH(ChoixRationBovins&amp;$BB259,Règles_bovins[Ration]&amp;Règles_bovins[Aliment],0)),0),0)*IF(ChoixBovinsPréHiver=OUI,TotalGénisse_18_24_RacesLaitières,TotalBovinsFemelles_18_24mois*NbreJoursNourrirBovins))</f>
        <v>0</v>
      </c>
      <c r="BF259" s="333">
        <f t="array" ref="BF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12-18],MATCH(ChoixRationBovins&amp;$BB259,Règles_bovins[Ration]&amp;Règles_bovins[Aliment],0)),0),0)*IF(ChoixBovinsPréHiver=OUI,TotalGénisse_12_18_RacesLaitières,TotalBovinsFemelles_12_18mois*NbreJoursNourrirBovins))</f>
        <v>0</v>
      </c>
      <c r="BG259" s="333">
        <f t="array" ref="BG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6-12],MATCH(ChoixRationBovins&amp;$BB259,Règles_bovins[Ration]&amp;Règles_bovins[Aliment],0)),0),0)*IF(ChoixBovinsPréHiver=OUI,TotalVeauFemelle_6_12_RacesLaitières,TotalBovinsFemelles_6_12mois*NbreJoursNourrirBovins))</f>
        <v>0</v>
      </c>
      <c r="BH259" s="333">
        <f t="array" ref="BH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3-6],MATCH(ChoixRationBovins&amp;$BB259,Règles_bovins[Ration]&amp;Règles_bovins[Aliment],0)),0),0)*IF(ChoixBovinsPréHiver=OUI,TotalVeauFemelle_3_6_RacesLaitières,TotalBovinsFemelles_3_6mois*NbreJoursNourrirBovins))</f>
        <v>0</v>
      </c>
      <c r="BI259" s="333">
        <f t="array" ref="BI259">IF(Ration_complète_bovins[somme]&gt;0,0,IFERROR(IF(OR(AND(INDEX(Règles_bovins[Specificite],MATCH(ChoixRationBovins&amp;$BB259,Règles_bovins[Ration]&amp;Règles_bovins[Aliment],0))="s1",IF($BB259=Spécificité1Bovins,1)),
AND(INDEX(Règles_bovins[Specificite],MATCH(ChoixRationBovins&amp;$BB259,Règles_bovins[Ration]&amp;Règles_bovins[Aliment],0))="s2",IF($BB259=Spécificité2Bovins,1)),
INDEX(Règles_bovins[Specificite],MATCH(ChoixRationBovins&amp;$BB259,Règles_bovins[Ration]&amp;Règles_bovins[Aliment],0))="c"),
INDEX(Règles_bovins[Valeur 0-3],MATCH(ChoixRationBovins&amp;$BB259,Règles_bovins[Ration]&amp;Règles_bovins[Aliment],0)),0),0)*IF(ChoixBovinsPréHiver=OUI,TotalVeauFemelle_0_3_RacesLaitières,TotalBovinsFemelles_0_3mois*NbreJoursNourrirBovins))</f>
        <v>0</v>
      </c>
      <c r="BJ259" s="334">
        <f t="shared" si="15"/>
        <v>0</v>
      </c>
      <c r="BX259" s="277"/>
      <c r="BY259" s="277"/>
      <c r="BZ259" s="279"/>
      <c r="CA259" s="279"/>
      <c r="CB259" s="279"/>
      <c r="CC259" s="279"/>
      <c r="CD259" s="295"/>
      <c r="CE259" s="295"/>
      <c r="CF259" s="295"/>
      <c r="CG259" s="295"/>
    </row>
    <row r="260" spans="1:85" ht="12.75" customHeight="1" x14ac:dyDescent="0.2">
      <c r="A260" s="276"/>
      <c r="B260" s="276"/>
      <c r="BB260" s="332" t="str">
        <f t="shared" si="16"/>
        <v>Pulpe déshydratée de betterave</v>
      </c>
      <c r="BC260" s="333">
        <f t="array" ref="BC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36 et plus],MATCH(ChoixRationBovins&amp;$BB260,Règles_bovins[Ration]&amp;Règles_bovins[Aliment],0)),0),0)*IF(ChoixBovinsPréHiver=OUI,TotalVachesRacesLaitières,TotalVaches*NbreJoursNourrirBovins))</f>
        <v>0</v>
      </c>
      <c r="BD260" s="333">
        <f t="array" ref="BD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24-36],MATCH(ChoixRationBovins&amp;$BB260,Règles_bovins[Ration]&amp;Règles_bovins[Aliment],0)),0),0)*IF(ChoixBovinsPréHiver=OUI,TotalGénisse_24_36_RacesLaitières,TotalBovinsFemelles_24_36mois*NbreJoursNourrirBovins))</f>
        <v>0</v>
      </c>
      <c r="BE260" s="333">
        <f t="array" ref="BE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18-24],MATCH(ChoixRationBovins&amp;$BB260,Règles_bovins[Ration]&amp;Règles_bovins[Aliment],0)),0),0)*IF(ChoixBovinsPréHiver=OUI,TotalGénisse_18_24_RacesLaitières,TotalBovinsFemelles_18_24mois*NbreJoursNourrirBovins))</f>
        <v>0</v>
      </c>
      <c r="BF260" s="333">
        <f t="array" ref="BF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12-18],MATCH(ChoixRationBovins&amp;$BB260,Règles_bovins[Ration]&amp;Règles_bovins[Aliment],0)),0),0)*IF(ChoixBovinsPréHiver=OUI,TotalGénisse_12_18_RacesLaitières,TotalBovinsFemelles_12_18mois*NbreJoursNourrirBovins))</f>
        <v>0</v>
      </c>
      <c r="BG260" s="333">
        <f t="array" ref="BG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6-12],MATCH(ChoixRationBovins&amp;$BB260,Règles_bovins[Ration]&amp;Règles_bovins[Aliment],0)),0),0)*IF(ChoixBovinsPréHiver=OUI,TotalVeauFemelle_6_12_RacesLaitières,TotalBovinsFemelles_6_12mois*NbreJoursNourrirBovins))</f>
        <v>0</v>
      </c>
      <c r="BH260" s="333">
        <f t="array" ref="BH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3-6],MATCH(ChoixRationBovins&amp;$BB260,Règles_bovins[Ration]&amp;Règles_bovins[Aliment],0)),0),0)*IF(ChoixBovinsPréHiver=OUI,TotalVeauFemelle_3_6_RacesLaitières,TotalBovinsFemelles_3_6mois*NbreJoursNourrirBovins))</f>
        <v>0</v>
      </c>
      <c r="BI260" s="333">
        <f t="array" ref="BI260">IF(Ration_complète_bovins[somme]&gt;0,0,IFERROR(IF(OR(AND(INDEX(Règles_bovins[Specificite],MATCH(ChoixRationBovins&amp;$BB260,Règles_bovins[Ration]&amp;Règles_bovins[Aliment],0))="s1",IF($BB260=Spécificité1Bovins,1)),
AND(INDEX(Règles_bovins[Specificite],MATCH(ChoixRationBovins&amp;$BB260,Règles_bovins[Ration]&amp;Règles_bovins[Aliment],0))="s2",IF($BB260=Spécificité2Bovins,1)),
INDEX(Règles_bovins[Specificite],MATCH(ChoixRationBovins&amp;$BB260,Règles_bovins[Ration]&amp;Règles_bovins[Aliment],0))="c"),
INDEX(Règles_bovins[Valeur 0-3],MATCH(ChoixRationBovins&amp;$BB260,Règles_bovins[Ration]&amp;Règles_bovins[Aliment],0)),0),0)*IF(ChoixBovinsPréHiver=OUI,TotalVeauFemelle_0_3_RacesLaitières,TotalBovinsFemelles_0_3mois*NbreJoursNourrirBovins))</f>
        <v>0</v>
      </c>
      <c r="BJ260" s="334">
        <f t="shared" si="15"/>
        <v>0</v>
      </c>
      <c r="BX260" s="277"/>
      <c r="BY260" s="277"/>
      <c r="BZ260" s="279"/>
      <c r="CA260" s="279"/>
      <c r="CB260" s="279"/>
      <c r="CC260" s="279"/>
      <c r="CD260" s="295"/>
      <c r="CE260" s="295"/>
      <c r="CF260" s="295"/>
      <c r="CG260" s="295"/>
    </row>
    <row r="261" spans="1:85" ht="12.75" customHeight="1" x14ac:dyDescent="0.2">
      <c r="A261" s="276"/>
      <c r="B261" s="276"/>
      <c r="BB261" s="332" t="str">
        <f t="shared" si="16"/>
        <v>Ration complète</v>
      </c>
      <c r="BC261" s="333">
        <f t="array" ref="BC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36 et plus],MATCH(ChoixRationBovins&amp;$BB261,Règles_bovins[Ration]&amp;Règles_bovins[Aliment],0)),0),0)*IF(ChoixBovinsPréHiver=OUI,TotalVachesRacesLaitières,TotalVaches*NbreJoursNourrirBovins))</f>
        <v>0</v>
      </c>
      <c r="BD261" s="333">
        <f t="array" ref="BD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24-36],MATCH(ChoixRationBovins&amp;$BB261,Règles_bovins[Ration]&amp;Règles_bovins[Aliment],0)),0),0)*IF(ChoixBovinsPréHiver=OUI,TotalGénisse_24_36_RacesLaitières,TotalBovinsFemelles_24_36mois*NbreJoursNourrirBovins))</f>
        <v>0</v>
      </c>
      <c r="BE261" s="333">
        <f t="array" ref="BE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18-24],MATCH(ChoixRationBovins&amp;$BB261,Règles_bovins[Ration]&amp;Règles_bovins[Aliment],0)),0),0)*IF(ChoixBovinsPréHiver=OUI,TotalGénisse_18_24_RacesLaitières,TotalBovinsFemelles_18_24mois*NbreJoursNourrirBovins))</f>
        <v>0</v>
      </c>
      <c r="BF261" s="333">
        <f t="array" ref="BF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12-18],MATCH(ChoixRationBovins&amp;$BB261,Règles_bovins[Ration]&amp;Règles_bovins[Aliment],0)),0),0)*IF(ChoixBovinsPréHiver=OUI,TotalGénisse_12_18_RacesLaitières,TotalBovinsFemelles_12_18mois*NbreJoursNourrirBovins))</f>
        <v>0</v>
      </c>
      <c r="BG261" s="333">
        <f t="array" ref="BG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6-12],MATCH(ChoixRationBovins&amp;$BB261,Règles_bovins[Ration]&amp;Règles_bovins[Aliment],0)),0),0)*IF(ChoixBovinsPréHiver=OUI,TotalVeauFemelle_6_12_RacesLaitières,TotalBovinsFemelles_6_12mois*NbreJoursNourrirBovins))</f>
        <v>0</v>
      </c>
      <c r="BH261" s="333">
        <f t="array" ref="BH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3-6],MATCH(ChoixRationBovins&amp;$BB261,Règles_bovins[Ration]&amp;Règles_bovins[Aliment],0)),0),0)*IF(ChoixBovinsPréHiver=OUI,TotalVeauFemelle_3_6_RacesLaitières,TotalBovinsFemelles_3_6mois*NbreJoursNourrirBovins))</f>
        <v>0</v>
      </c>
      <c r="BI261" s="333">
        <f t="array" ref="BI261">IF(Ration_complète_bovins[somme]&gt;0,0,IFERROR(IF(OR(AND(INDEX(Règles_bovins[Specificite],MATCH(ChoixRationBovins&amp;$BB261,Règles_bovins[Ration]&amp;Règles_bovins[Aliment],0))="s1",IF($BB261=Spécificité1Bovins,1)),
AND(INDEX(Règles_bovins[Specificite],MATCH(ChoixRationBovins&amp;$BB261,Règles_bovins[Ration]&amp;Règles_bovins[Aliment],0))="s2",IF($BB261=Spécificité2Bovins,1)),
INDEX(Règles_bovins[Specificite],MATCH(ChoixRationBovins&amp;$BB261,Règles_bovins[Ration]&amp;Règles_bovins[Aliment],0))="c"),
INDEX(Règles_bovins[Valeur 0-3],MATCH(ChoixRationBovins&amp;$BB261,Règles_bovins[Ration]&amp;Règles_bovins[Aliment],0)),0),0)*IF(ChoixBovinsPréHiver=OUI,TotalVeauFemelle_0_3_RacesLaitières,TotalBovinsFemelles_0_3mois*NbreJoursNourrirBovins))</f>
        <v>0</v>
      </c>
      <c r="BJ261" s="334">
        <f t="shared" si="15"/>
        <v>0</v>
      </c>
      <c r="BX261" s="277"/>
      <c r="BY261" s="295"/>
      <c r="BZ261" s="277"/>
      <c r="CA261" s="277"/>
      <c r="CB261" s="277"/>
      <c r="CC261" s="277"/>
      <c r="CD261" s="295"/>
      <c r="CE261" s="295"/>
      <c r="CF261" s="295"/>
      <c r="CG261" s="295"/>
    </row>
    <row r="262" spans="1:85" ht="12.75" customHeight="1" x14ac:dyDescent="0.2">
      <c r="A262" s="276"/>
      <c r="B262" s="276"/>
      <c r="BB262" s="332" t="str">
        <f t="shared" si="16"/>
        <v>Seigle</v>
      </c>
      <c r="BC262" s="333">
        <f t="array" ref="BC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36 et plus],MATCH(ChoixRationBovins&amp;$BB262,Règles_bovins[Ration]&amp;Règles_bovins[Aliment],0)),0),0)*IF(ChoixBovinsPréHiver=OUI,TotalVachesRacesLaitières,TotalVaches*NbreJoursNourrirBovins))</f>
        <v>0</v>
      </c>
      <c r="BD262" s="333">
        <f t="array" ref="BD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24-36],MATCH(ChoixRationBovins&amp;$BB262,Règles_bovins[Ration]&amp;Règles_bovins[Aliment],0)),0),0)*IF(ChoixBovinsPréHiver=OUI,TotalGénisse_24_36_RacesLaitières,TotalBovinsFemelles_24_36mois*NbreJoursNourrirBovins))</f>
        <v>0</v>
      </c>
      <c r="BE262" s="333">
        <f t="array" ref="BE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18-24],MATCH(ChoixRationBovins&amp;$BB262,Règles_bovins[Ration]&amp;Règles_bovins[Aliment],0)),0),0)*IF(ChoixBovinsPréHiver=OUI,TotalGénisse_18_24_RacesLaitières,TotalBovinsFemelles_18_24mois*NbreJoursNourrirBovins))</f>
        <v>0</v>
      </c>
      <c r="BF262" s="333">
        <f t="array" ref="BF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12-18],MATCH(ChoixRationBovins&amp;$BB262,Règles_bovins[Ration]&amp;Règles_bovins[Aliment],0)),0),0)*IF(ChoixBovinsPréHiver=OUI,TotalGénisse_12_18_RacesLaitières,TotalBovinsFemelles_12_18mois*NbreJoursNourrirBovins))</f>
        <v>0</v>
      </c>
      <c r="BG262" s="333">
        <f t="array" ref="BG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6-12],MATCH(ChoixRationBovins&amp;$BB262,Règles_bovins[Ration]&amp;Règles_bovins[Aliment],0)),0),0)*IF(ChoixBovinsPréHiver=OUI,TotalVeauFemelle_6_12_RacesLaitières,TotalBovinsFemelles_6_12mois*NbreJoursNourrirBovins))</f>
        <v>0</v>
      </c>
      <c r="BH262" s="333">
        <f t="array" ref="BH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3-6],MATCH(ChoixRationBovins&amp;$BB262,Règles_bovins[Ration]&amp;Règles_bovins[Aliment],0)),0),0)*IF(ChoixBovinsPréHiver=OUI,TotalVeauFemelle_3_6_RacesLaitières,TotalBovinsFemelles_3_6mois*NbreJoursNourrirBovins))</f>
        <v>0</v>
      </c>
      <c r="BI262" s="333">
        <f t="array" ref="BI262">IF(Ration_complète_bovins[somme]&gt;0,0,IFERROR(IF(OR(AND(INDEX(Règles_bovins[Specificite],MATCH(ChoixRationBovins&amp;$BB262,Règles_bovins[Ration]&amp;Règles_bovins[Aliment],0))="s1",IF($BB262=Spécificité1Bovins,1)),
AND(INDEX(Règles_bovins[Specificite],MATCH(ChoixRationBovins&amp;$BB262,Règles_bovins[Ration]&amp;Règles_bovins[Aliment],0))="s2",IF($BB262=Spécificité2Bovins,1)),
INDEX(Règles_bovins[Specificite],MATCH(ChoixRationBovins&amp;$BB262,Règles_bovins[Ration]&amp;Règles_bovins[Aliment],0))="c"),
INDEX(Règles_bovins[Valeur 0-3],MATCH(ChoixRationBovins&amp;$BB262,Règles_bovins[Ration]&amp;Règles_bovins[Aliment],0)),0),0)*IF(ChoixBovinsPréHiver=OUI,TotalVeauFemelle_0_3_RacesLaitières,TotalBovinsFemelles_0_3mois*NbreJoursNourrirBovins))</f>
        <v>0</v>
      </c>
      <c r="BJ262" s="334">
        <f t="shared" si="15"/>
        <v>0</v>
      </c>
      <c r="BX262" s="277"/>
      <c r="BY262" s="277"/>
      <c r="BZ262" s="277"/>
      <c r="CA262" s="277"/>
      <c r="CB262" s="277"/>
      <c r="CC262" s="277"/>
      <c r="CD262" s="295"/>
      <c r="CE262" s="295"/>
      <c r="CF262" s="295"/>
      <c r="CG262" s="295"/>
    </row>
    <row r="263" spans="1:85" ht="12.75" customHeight="1" x14ac:dyDescent="0.2">
      <c r="A263" s="276"/>
      <c r="B263" s="276"/>
      <c r="BB263" s="332" t="str">
        <f t="shared" si="16"/>
        <v>Soja</v>
      </c>
      <c r="BC263" s="333">
        <f t="array" ref="BC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36 et plus],MATCH(ChoixRationBovins&amp;$BB263,Règles_bovins[Ration]&amp;Règles_bovins[Aliment],0)),0),0)*IF(ChoixBovinsPréHiver=OUI,TotalVachesRacesLaitières,TotalVaches*NbreJoursNourrirBovins))</f>
        <v>0</v>
      </c>
      <c r="BD263" s="333">
        <f t="array" ref="BD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24-36],MATCH(ChoixRationBovins&amp;$BB263,Règles_bovins[Ration]&amp;Règles_bovins[Aliment],0)),0),0)*IF(ChoixBovinsPréHiver=OUI,TotalGénisse_24_36_RacesLaitières,TotalBovinsFemelles_24_36mois*NbreJoursNourrirBovins))</f>
        <v>0</v>
      </c>
      <c r="BE263" s="333">
        <f t="array" ref="BE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18-24],MATCH(ChoixRationBovins&amp;$BB263,Règles_bovins[Ration]&amp;Règles_bovins[Aliment],0)),0),0)*IF(ChoixBovinsPréHiver=OUI,TotalGénisse_18_24_RacesLaitières,TotalBovinsFemelles_18_24mois*NbreJoursNourrirBovins))</f>
        <v>0</v>
      </c>
      <c r="BF263" s="333">
        <f t="array" ref="BF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12-18],MATCH(ChoixRationBovins&amp;$BB263,Règles_bovins[Ration]&amp;Règles_bovins[Aliment],0)),0),0)*IF(ChoixBovinsPréHiver=OUI,TotalGénisse_12_18_RacesLaitières,TotalBovinsFemelles_12_18mois*NbreJoursNourrirBovins))</f>
        <v>0</v>
      </c>
      <c r="BG263" s="333">
        <f t="array" ref="BG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6-12],MATCH(ChoixRationBovins&amp;$BB263,Règles_bovins[Ration]&amp;Règles_bovins[Aliment],0)),0),0)*IF(ChoixBovinsPréHiver=OUI,TotalVeauFemelle_6_12_RacesLaitières,TotalBovinsFemelles_6_12mois*NbreJoursNourrirBovins))</f>
        <v>0</v>
      </c>
      <c r="BH263" s="333">
        <f t="array" ref="BH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3-6],MATCH(ChoixRationBovins&amp;$BB263,Règles_bovins[Ration]&amp;Règles_bovins[Aliment],0)),0),0)*IF(ChoixBovinsPréHiver=OUI,TotalVeauFemelle_3_6_RacesLaitières,TotalBovinsFemelles_3_6mois*NbreJoursNourrirBovins))</f>
        <v>0</v>
      </c>
      <c r="BI263" s="333">
        <f t="array" ref="BI263">IF(Ration_complète_bovins[somme]&gt;0,0,IFERROR(IF(OR(AND(INDEX(Règles_bovins[Specificite],MATCH(ChoixRationBovins&amp;$BB263,Règles_bovins[Ration]&amp;Règles_bovins[Aliment],0))="s1",IF($BB263=Spécificité1Bovins,1)),
AND(INDEX(Règles_bovins[Specificite],MATCH(ChoixRationBovins&amp;$BB263,Règles_bovins[Ration]&amp;Règles_bovins[Aliment],0))="s2",IF($BB263=Spécificité2Bovins,1)),
INDEX(Règles_bovins[Specificite],MATCH(ChoixRationBovins&amp;$BB263,Règles_bovins[Ration]&amp;Règles_bovins[Aliment],0))="c"),
INDEX(Règles_bovins[Valeur 0-3],MATCH(ChoixRationBovins&amp;$BB263,Règles_bovins[Ration]&amp;Règles_bovins[Aliment],0)),0),0)*IF(ChoixBovinsPréHiver=OUI,TotalVeauFemelle_0_3_RacesLaitières,TotalBovinsFemelles_0_3mois*NbreJoursNourrirBovins))</f>
        <v>0</v>
      </c>
      <c r="BJ263" s="334">
        <f t="shared" si="15"/>
        <v>0</v>
      </c>
      <c r="BX263" s="277"/>
      <c r="BY263" s="277"/>
      <c r="BZ263" s="277"/>
      <c r="CA263" s="277"/>
      <c r="CB263" s="277"/>
      <c r="CC263" s="277"/>
      <c r="CD263" s="295"/>
      <c r="CE263" s="295"/>
      <c r="CF263" s="295"/>
      <c r="CG263" s="295"/>
    </row>
    <row r="264" spans="1:85" ht="12.75" customHeight="1" x14ac:dyDescent="0.2">
      <c r="A264" s="276"/>
      <c r="B264" s="276"/>
      <c r="BB264" s="332" t="str">
        <f t="shared" si="16"/>
        <v>Sorgho ensilé</v>
      </c>
      <c r="BC264" s="333">
        <f t="array" ref="BC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36 et plus],MATCH(ChoixRationBovins&amp;$BB264,Règles_bovins[Ration]&amp;Règles_bovins[Aliment],0)),0),0)*IF(ChoixBovinsPréHiver=OUI,TotalVachesRacesLaitières,TotalVaches*NbreJoursNourrirBovins))</f>
        <v>0</v>
      </c>
      <c r="BD264" s="333">
        <f t="array" ref="BD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24-36],MATCH(ChoixRationBovins&amp;$BB264,Règles_bovins[Ration]&amp;Règles_bovins[Aliment],0)),0),0)*IF(ChoixBovinsPréHiver=OUI,TotalGénisse_24_36_RacesLaitières,TotalBovinsFemelles_24_36mois*NbreJoursNourrirBovins))</f>
        <v>0</v>
      </c>
      <c r="BE264" s="333">
        <f t="array" ref="BE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18-24],MATCH(ChoixRationBovins&amp;$BB264,Règles_bovins[Ration]&amp;Règles_bovins[Aliment],0)),0),0)*IF(ChoixBovinsPréHiver=OUI,TotalGénisse_18_24_RacesLaitières,TotalBovinsFemelles_18_24mois*NbreJoursNourrirBovins))</f>
        <v>0</v>
      </c>
      <c r="BF264" s="333">
        <f t="array" ref="BF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12-18],MATCH(ChoixRationBovins&amp;$BB264,Règles_bovins[Ration]&amp;Règles_bovins[Aliment],0)),0),0)*IF(ChoixBovinsPréHiver=OUI,TotalGénisse_12_18_RacesLaitières,TotalBovinsFemelles_12_18mois*NbreJoursNourrirBovins))</f>
        <v>0</v>
      </c>
      <c r="BG264" s="333">
        <f t="array" ref="BG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6-12],MATCH(ChoixRationBovins&amp;$BB264,Règles_bovins[Ration]&amp;Règles_bovins[Aliment],0)),0),0)*IF(ChoixBovinsPréHiver=OUI,TotalVeauFemelle_6_12_RacesLaitières,TotalBovinsFemelles_6_12mois*NbreJoursNourrirBovins))</f>
        <v>0</v>
      </c>
      <c r="BH264" s="333">
        <f t="array" ref="BH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3-6],MATCH(ChoixRationBovins&amp;$BB264,Règles_bovins[Ration]&amp;Règles_bovins[Aliment],0)),0),0)*IF(ChoixBovinsPréHiver=OUI,TotalVeauFemelle_3_6_RacesLaitières,TotalBovinsFemelles_3_6mois*NbreJoursNourrirBovins))</f>
        <v>0</v>
      </c>
      <c r="BI264" s="333">
        <f t="array" ref="BI264">IF(Ration_complète_bovins[somme]&gt;0,0,IFERROR(IF(OR(AND(INDEX(Règles_bovins[Specificite],MATCH(ChoixRationBovins&amp;$BB264,Règles_bovins[Ration]&amp;Règles_bovins[Aliment],0))="s1",IF($BB264=Spécificité1Bovins,1)),
AND(INDEX(Règles_bovins[Specificite],MATCH(ChoixRationBovins&amp;$BB264,Règles_bovins[Ration]&amp;Règles_bovins[Aliment],0))="s2",IF($BB264=Spécificité2Bovins,1)),
INDEX(Règles_bovins[Specificite],MATCH(ChoixRationBovins&amp;$BB264,Règles_bovins[Ration]&amp;Règles_bovins[Aliment],0))="c"),
INDEX(Règles_bovins[Valeur 0-3],MATCH(ChoixRationBovins&amp;$BB264,Règles_bovins[Ration]&amp;Règles_bovins[Aliment],0)),0),0)*IF(ChoixBovinsPréHiver=OUI,TotalVeauFemelle_0_3_RacesLaitières,TotalBovinsFemelles_0_3mois*NbreJoursNourrirBovins))</f>
        <v>0</v>
      </c>
      <c r="BJ264" s="334">
        <f t="shared" si="15"/>
        <v>0</v>
      </c>
      <c r="BX264" s="277"/>
      <c r="BY264" s="277"/>
      <c r="BZ264" s="277"/>
      <c r="CA264" s="277"/>
      <c r="CB264" s="277"/>
      <c r="CC264" s="277"/>
      <c r="CD264" s="295"/>
      <c r="CE264" s="295"/>
      <c r="CF264" s="295"/>
      <c r="CG264" s="295"/>
    </row>
    <row r="265" spans="1:85" ht="12.75" customHeight="1" x14ac:dyDescent="0.2">
      <c r="A265" s="276"/>
      <c r="B265" s="276"/>
      <c r="BB265" s="332" t="str">
        <f t="shared" si="16"/>
        <v>Tournesol</v>
      </c>
      <c r="BC265" s="333">
        <f t="array" ref="BC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36 et plus],MATCH(ChoixRationBovins&amp;$BB265,Règles_bovins[Ration]&amp;Règles_bovins[Aliment],0)),0),0)*IF(ChoixBovinsPréHiver=OUI,TotalVachesRacesLaitières,TotalVaches*NbreJoursNourrirBovins))</f>
        <v>0</v>
      </c>
      <c r="BD265" s="333">
        <f t="array" ref="BD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24-36],MATCH(ChoixRationBovins&amp;$BB265,Règles_bovins[Ration]&amp;Règles_bovins[Aliment],0)),0),0)*IF(ChoixBovinsPréHiver=OUI,TotalGénisse_24_36_RacesLaitières,TotalBovinsFemelles_24_36mois*NbreJoursNourrirBovins))</f>
        <v>0</v>
      </c>
      <c r="BE265" s="333">
        <f t="array" ref="BE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18-24],MATCH(ChoixRationBovins&amp;$BB265,Règles_bovins[Ration]&amp;Règles_bovins[Aliment],0)),0),0)*IF(ChoixBovinsPréHiver=OUI,TotalGénisse_18_24_RacesLaitières,TotalBovinsFemelles_18_24mois*NbreJoursNourrirBovins))</f>
        <v>0</v>
      </c>
      <c r="BF265" s="333">
        <f t="array" ref="BF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12-18],MATCH(ChoixRationBovins&amp;$BB265,Règles_bovins[Ration]&amp;Règles_bovins[Aliment],0)),0),0)*IF(ChoixBovinsPréHiver=OUI,TotalGénisse_12_18_RacesLaitières,TotalBovinsFemelles_12_18mois*NbreJoursNourrirBovins))</f>
        <v>0</v>
      </c>
      <c r="BG265" s="333">
        <f t="array" ref="BG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6-12],MATCH(ChoixRationBovins&amp;$BB265,Règles_bovins[Ration]&amp;Règles_bovins[Aliment],0)),0),0)*IF(ChoixBovinsPréHiver=OUI,TotalVeauFemelle_6_12_RacesLaitières,TotalBovinsFemelles_6_12mois*NbreJoursNourrirBovins))</f>
        <v>0</v>
      </c>
      <c r="BH265" s="333">
        <f t="array" ref="BH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3-6],MATCH(ChoixRationBovins&amp;$BB265,Règles_bovins[Ration]&amp;Règles_bovins[Aliment],0)),0),0)*IF(ChoixBovinsPréHiver=OUI,TotalVeauFemelle_3_6_RacesLaitières,TotalBovinsFemelles_3_6mois*NbreJoursNourrirBovins))</f>
        <v>0</v>
      </c>
      <c r="BI265" s="333">
        <f t="array" ref="BI265">IF(Ration_complète_bovins[somme]&gt;0,0,IFERROR(IF(OR(AND(INDEX(Règles_bovins[Specificite],MATCH(ChoixRationBovins&amp;$BB265,Règles_bovins[Ration]&amp;Règles_bovins[Aliment],0))="s1",IF($BB265=Spécificité1Bovins,1)),
AND(INDEX(Règles_bovins[Specificite],MATCH(ChoixRationBovins&amp;$BB265,Règles_bovins[Ration]&amp;Règles_bovins[Aliment],0))="s2",IF($BB265=Spécificité2Bovins,1)),
INDEX(Règles_bovins[Specificite],MATCH(ChoixRationBovins&amp;$BB265,Règles_bovins[Ration]&amp;Règles_bovins[Aliment],0))="c"),
INDEX(Règles_bovins[Valeur 0-3],MATCH(ChoixRationBovins&amp;$BB265,Règles_bovins[Ration]&amp;Règles_bovins[Aliment],0)),0),0)*IF(ChoixBovinsPréHiver=OUI,TotalVeauFemelle_0_3_RacesLaitières,TotalBovinsFemelles_0_3mois*NbreJoursNourrirBovins))</f>
        <v>0</v>
      </c>
      <c r="BJ265" s="334">
        <f t="shared" si="15"/>
        <v>0</v>
      </c>
      <c r="BX265" s="277"/>
      <c r="BY265" s="277"/>
      <c r="BZ265" s="277"/>
      <c r="CA265" s="277"/>
      <c r="CB265" s="277"/>
      <c r="CC265" s="277"/>
      <c r="CD265" s="295"/>
      <c r="CE265" s="295"/>
      <c r="CF265" s="295"/>
      <c r="CG265" s="295"/>
    </row>
    <row r="266" spans="1:85" ht="12.75" customHeight="1" x14ac:dyDescent="0.2">
      <c r="A266" s="276"/>
      <c r="B266" s="276"/>
      <c r="BB266" s="332" t="str">
        <f t="shared" si="16"/>
        <v>Tourteau de colza</v>
      </c>
      <c r="BC266" s="333">
        <f t="array" ref="BC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36 et plus],MATCH(ChoixRationBovins&amp;$BB266,Règles_bovins[Ration]&amp;Règles_bovins[Aliment],0)),0),0)*IF(ChoixBovinsPréHiver=OUI,TotalVachesRacesLaitières,TotalVaches*NbreJoursNourrirBovins))</f>
        <v>0</v>
      </c>
      <c r="BD266" s="333">
        <f t="array" ref="BD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24-36],MATCH(ChoixRationBovins&amp;$BB266,Règles_bovins[Ration]&amp;Règles_bovins[Aliment],0)),0),0)*IF(ChoixBovinsPréHiver=OUI,TotalGénisse_24_36_RacesLaitières,TotalBovinsFemelles_24_36mois*NbreJoursNourrirBovins))</f>
        <v>0</v>
      </c>
      <c r="BE266" s="333">
        <f t="array" ref="BE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18-24],MATCH(ChoixRationBovins&amp;$BB266,Règles_bovins[Ration]&amp;Règles_bovins[Aliment],0)),0),0)*IF(ChoixBovinsPréHiver=OUI,TotalGénisse_18_24_RacesLaitières,TotalBovinsFemelles_18_24mois*NbreJoursNourrirBovins))</f>
        <v>0</v>
      </c>
      <c r="BF266" s="333">
        <f t="array" ref="BF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12-18],MATCH(ChoixRationBovins&amp;$BB266,Règles_bovins[Ration]&amp;Règles_bovins[Aliment],0)),0),0)*IF(ChoixBovinsPréHiver=OUI,TotalGénisse_12_18_RacesLaitières,TotalBovinsFemelles_12_18mois*NbreJoursNourrirBovins))</f>
        <v>0</v>
      </c>
      <c r="BG266" s="333">
        <f t="array" ref="BG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6-12],MATCH(ChoixRationBovins&amp;$BB266,Règles_bovins[Ration]&amp;Règles_bovins[Aliment],0)),0),0)*IF(ChoixBovinsPréHiver=OUI,TotalVeauFemelle_6_12_RacesLaitières,TotalBovinsFemelles_6_12mois*NbreJoursNourrirBovins))</f>
        <v>0</v>
      </c>
      <c r="BH266" s="333">
        <f t="array" ref="BH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3-6],MATCH(ChoixRationBovins&amp;$BB266,Règles_bovins[Ration]&amp;Règles_bovins[Aliment],0)),0),0)*IF(ChoixBovinsPréHiver=OUI,TotalVeauFemelle_3_6_RacesLaitières,TotalBovinsFemelles_3_6mois*NbreJoursNourrirBovins))</f>
        <v>0</v>
      </c>
      <c r="BI266" s="333">
        <f t="array" ref="BI266">IF(Ration_complète_bovins[somme]&gt;0,0,IFERROR(IF(OR(AND(INDEX(Règles_bovins[Specificite],MATCH(ChoixRationBovins&amp;$BB266,Règles_bovins[Ration]&amp;Règles_bovins[Aliment],0))="s1",IF($BB266=Spécificité1Bovins,1)),
AND(INDEX(Règles_bovins[Specificite],MATCH(ChoixRationBovins&amp;$BB266,Règles_bovins[Ration]&amp;Règles_bovins[Aliment],0))="s2",IF($BB266=Spécificité2Bovins,1)),
INDEX(Règles_bovins[Specificite],MATCH(ChoixRationBovins&amp;$BB266,Règles_bovins[Ration]&amp;Règles_bovins[Aliment],0))="c"),
INDEX(Règles_bovins[Valeur 0-3],MATCH(ChoixRationBovins&amp;$BB266,Règles_bovins[Ration]&amp;Règles_bovins[Aliment],0)),0),0)*IF(ChoixBovinsPréHiver=OUI,TotalVeauFemelle_0_3_RacesLaitières,TotalBovinsFemelles_0_3mois*NbreJoursNourrirBovins))</f>
        <v>0</v>
      </c>
      <c r="BJ266" s="334">
        <f t="shared" si="15"/>
        <v>0</v>
      </c>
      <c r="BX266" s="277"/>
      <c r="BY266" s="277"/>
      <c r="BZ266" s="277"/>
      <c r="CA266" s="277"/>
      <c r="CB266" s="277"/>
      <c r="CC266" s="277"/>
      <c r="CD266" s="295"/>
      <c r="CE266" s="295"/>
      <c r="CF266" s="295"/>
      <c r="CG266" s="295"/>
    </row>
    <row r="267" spans="1:85" ht="12.75" customHeight="1" x14ac:dyDescent="0.2">
      <c r="A267" s="276"/>
      <c r="B267" s="276"/>
      <c r="BB267" s="332" t="str">
        <f t="shared" si="16"/>
        <v>Tourteau de tournesol</v>
      </c>
      <c r="BC267" s="333">
        <f t="array" ref="BC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36 et plus],MATCH(ChoixRationBovins&amp;$BB267,Règles_bovins[Ration]&amp;Règles_bovins[Aliment],0)),0),0)*IF(ChoixBovinsPréHiver=OUI,TotalVachesRacesLaitières,TotalVaches*NbreJoursNourrirBovins))</f>
        <v>0</v>
      </c>
      <c r="BD267" s="333">
        <f t="array" ref="BD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24-36],MATCH(ChoixRationBovins&amp;$BB267,Règles_bovins[Ration]&amp;Règles_bovins[Aliment],0)),0),0)*IF(ChoixBovinsPréHiver=OUI,TotalGénisse_24_36_RacesLaitières,TotalBovinsFemelles_24_36mois*NbreJoursNourrirBovins))</f>
        <v>0</v>
      </c>
      <c r="BE267" s="333">
        <f t="array" ref="BE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18-24],MATCH(ChoixRationBovins&amp;$BB267,Règles_bovins[Ration]&amp;Règles_bovins[Aliment],0)),0),0)*IF(ChoixBovinsPréHiver=OUI,TotalGénisse_18_24_RacesLaitières,TotalBovinsFemelles_18_24mois*NbreJoursNourrirBovins))</f>
        <v>0</v>
      </c>
      <c r="BF267" s="333">
        <f t="array" ref="BF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12-18],MATCH(ChoixRationBovins&amp;$BB267,Règles_bovins[Ration]&amp;Règles_bovins[Aliment],0)),0),0)*IF(ChoixBovinsPréHiver=OUI,TotalGénisse_12_18_RacesLaitières,TotalBovinsFemelles_12_18mois*NbreJoursNourrirBovins))</f>
        <v>0</v>
      </c>
      <c r="BG267" s="333">
        <f t="array" ref="BG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6-12],MATCH(ChoixRationBovins&amp;$BB267,Règles_bovins[Ration]&amp;Règles_bovins[Aliment],0)),0),0)*IF(ChoixBovinsPréHiver=OUI,TotalVeauFemelle_6_12_RacesLaitières,TotalBovinsFemelles_6_12mois*NbreJoursNourrirBovins))</f>
        <v>0</v>
      </c>
      <c r="BH267" s="333">
        <f t="array" ref="BH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3-6],MATCH(ChoixRationBovins&amp;$BB267,Règles_bovins[Ration]&amp;Règles_bovins[Aliment],0)),0),0)*IF(ChoixBovinsPréHiver=OUI,TotalVeauFemelle_3_6_RacesLaitières,TotalBovinsFemelles_3_6mois*NbreJoursNourrirBovins))</f>
        <v>0</v>
      </c>
      <c r="BI267" s="333">
        <f t="array" ref="BI267">IF(Ration_complète_bovins[somme]&gt;0,0,IFERROR(IF(OR(AND(INDEX(Règles_bovins[Specificite],MATCH(ChoixRationBovins&amp;$BB267,Règles_bovins[Ration]&amp;Règles_bovins[Aliment],0))="s1",IF($BB267=Spécificité1Bovins,1)),
AND(INDEX(Règles_bovins[Specificite],MATCH(ChoixRationBovins&amp;$BB267,Règles_bovins[Ration]&amp;Règles_bovins[Aliment],0))="s2",IF($BB267=Spécificité2Bovins,1)),
INDEX(Règles_bovins[Specificite],MATCH(ChoixRationBovins&amp;$BB267,Règles_bovins[Ration]&amp;Règles_bovins[Aliment],0))="c"),
INDEX(Règles_bovins[Valeur 0-3],MATCH(ChoixRationBovins&amp;$BB267,Règles_bovins[Ration]&amp;Règles_bovins[Aliment],0)),0),0)*IF(ChoixBovinsPréHiver=OUI,TotalVeauFemelle_0_3_RacesLaitières,TotalBovinsFemelles_0_3mois*NbreJoursNourrirBovins))</f>
        <v>0</v>
      </c>
      <c r="BJ267" s="334">
        <f t="shared" si="15"/>
        <v>0</v>
      </c>
      <c r="CD267" s="295"/>
      <c r="CE267" s="295"/>
      <c r="CF267" s="295"/>
      <c r="CG267" s="295"/>
    </row>
    <row r="268" spans="1:85" ht="12.75" customHeight="1" x14ac:dyDescent="0.2">
      <c r="A268" s="276"/>
      <c r="B268" s="276"/>
      <c r="BB268" s="332" t="str">
        <f t="shared" si="16"/>
        <v>Triticale</v>
      </c>
      <c r="BC268" s="333">
        <f t="array" ref="BC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36 et plus],MATCH(ChoixRationBovins&amp;$BB268,Règles_bovins[Ration]&amp;Règles_bovins[Aliment],0)),0),0)*IF(ChoixBovinsPréHiver=OUI,TotalVachesRacesLaitières,TotalVaches*NbreJoursNourrirBovins))</f>
        <v>0</v>
      </c>
      <c r="BD268" s="333">
        <f t="array" ref="BD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24-36],MATCH(ChoixRationBovins&amp;$BB268,Règles_bovins[Ration]&amp;Règles_bovins[Aliment],0)),0),0)*IF(ChoixBovinsPréHiver=OUI,TotalGénisse_24_36_RacesLaitières,TotalBovinsFemelles_24_36mois*NbreJoursNourrirBovins))</f>
        <v>0</v>
      </c>
      <c r="BE268" s="333">
        <f t="array" ref="BE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18-24],MATCH(ChoixRationBovins&amp;$BB268,Règles_bovins[Ration]&amp;Règles_bovins[Aliment],0)),0),0)*IF(ChoixBovinsPréHiver=OUI,TotalGénisse_18_24_RacesLaitières,TotalBovinsFemelles_18_24mois*NbreJoursNourrirBovins))</f>
        <v>0</v>
      </c>
      <c r="BF268" s="333">
        <f t="array" ref="BF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12-18],MATCH(ChoixRationBovins&amp;$BB268,Règles_bovins[Ration]&amp;Règles_bovins[Aliment],0)),0),0)*IF(ChoixBovinsPréHiver=OUI,TotalGénisse_12_18_RacesLaitières,TotalBovinsFemelles_12_18mois*NbreJoursNourrirBovins))</f>
        <v>0</v>
      </c>
      <c r="BG268" s="333">
        <f t="array" ref="BG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6-12],MATCH(ChoixRationBovins&amp;$BB268,Règles_bovins[Ration]&amp;Règles_bovins[Aliment],0)),0),0)*IF(ChoixBovinsPréHiver=OUI,TotalVeauFemelle_6_12_RacesLaitières,TotalBovinsFemelles_6_12mois*NbreJoursNourrirBovins))</f>
        <v>0</v>
      </c>
      <c r="BH268" s="333">
        <f t="array" ref="BH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3-6],MATCH(ChoixRationBovins&amp;$BB268,Règles_bovins[Ration]&amp;Règles_bovins[Aliment],0)),0),0)*IF(ChoixBovinsPréHiver=OUI,TotalVeauFemelle_3_6_RacesLaitières,TotalBovinsFemelles_3_6mois*NbreJoursNourrirBovins))</f>
        <v>0</v>
      </c>
      <c r="BI268" s="333">
        <f t="array" ref="BI268">IF(Ration_complète_bovins[somme]&gt;0,0,IFERROR(IF(OR(AND(INDEX(Règles_bovins[Specificite],MATCH(ChoixRationBovins&amp;$BB268,Règles_bovins[Ration]&amp;Règles_bovins[Aliment],0))="s1",IF($BB268=Spécificité1Bovins,1)),
AND(INDEX(Règles_bovins[Specificite],MATCH(ChoixRationBovins&amp;$BB268,Règles_bovins[Ration]&amp;Règles_bovins[Aliment],0))="s2",IF($BB268=Spécificité2Bovins,1)),
INDEX(Règles_bovins[Specificite],MATCH(ChoixRationBovins&amp;$BB268,Règles_bovins[Ration]&amp;Règles_bovins[Aliment],0))="c"),
INDEX(Règles_bovins[Valeur 0-3],MATCH(ChoixRationBovins&amp;$BB268,Règles_bovins[Ration]&amp;Règles_bovins[Aliment],0)),0),0)*IF(ChoixBovinsPréHiver=OUI,TotalVeauFemelle_0_3_RacesLaitières,TotalBovinsFemelles_0_3mois*NbreJoursNourrirBovins))</f>
        <v>0</v>
      </c>
      <c r="BJ268" s="334">
        <f t="shared" si="15"/>
        <v>0</v>
      </c>
      <c r="CD268" s="295"/>
      <c r="CE268" s="295"/>
      <c r="CF268" s="295"/>
      <c r="CG268" s="295"/>
    </row>
    <row r="269" spans="1:85" ht="12.75" customHeight="1" x14ac:dyDescent="0.2">
      <c r="A269" s="276"/>
      <c r="B269" s="276"/>
      <c r="BB269" s="332">
        <f t="shared" si="16"/>
        <v>0</v>
      </c>
      <c r="BC269" s="333">
        <f t="array" ref="BC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36 et plus],MATCH(ChoixRationBovins&amp;$BB269,Règles_bovins[Ration]&amp;Règles_bovins[Aliment],0)),0),0)*IF(ChoixBovinsPréHiver=OUI,TotalVachesRacesLaitières,TotalVaches*NbreJoursNourrirBovins))</f>
        <v>0</v>
      </c>
      <c r="BD269" s="333">
        <f t="array" ref="BD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24-36],MATCH(ChoixRationBovins&amp;$BB269,Règles_bovins[Ration]&amp;Règles_bovins[Aliment],0)),0),0)*IF(ChoixBovinsPréHiver=OUI,TotalGénisse_24_36_RacesLaitières,TotalBovinsFemelles_24_36mois*NbreJoursNourrirBovins))</f>
        <v>0</v>
      </c>
      <c r="BE269" s="333">
        <f t="array" ref="BE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18-24],MATCH(ChoixRationBovins&amp;$BB269,Règles_bovins[Ration]&amp;Règles_bovins[Aliment],0)),0),0)*IF(ChoixBovinsPréHiver=OUI,TotalGénisse_18_24_RacesLaitières,TotalBovinsFemelles_18_24mois*NbreJoursNourrirBovins))</f>
        <v>0</v>
      </c>
      <c r="BF269" s="333">
        <f t="array" ref="BF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12-18],MATCH(ChoixRationBovins&amp;$BB269,Règles_bovins[Ration]&amp;Règles_bovins[Aliment],0)),0),0)*IF(ChoixBovinsPréHiver=OUI,TotalGénisse_12_18_RacesLaitières,TotalBovinsFemelles_12_18mois*NbreJoursNourrirBovins))</f>
        <v>0</v>
      </c>
      <c r="BG269" s="333">
        <f t="array" ref="BG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6-12],MATCH(ChoixRationBovins&amp;$BB269,Règles_bovins[Ration]&amp;Règles_bovins[Aliment],0)),0),0)*IF(ChoixBovinsPréHiver=OUI,TotalVeauFemelle_6_12_RacesLaitières,TotalBovinsFemelles_6_12mois*NbreJoursNourrirBovins))</f>
        <v>0</v>
      </c>
      <c r="BH269" s="333">
        <f t="array" ref="BH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3-6],MATCH(ChoixRationBovins&amp;$BB269,Règles_bovins[Ration]&amp;Règles_bovins[Aliment],0)),0),0)*IF(ChoixBovinsPréHiver=OUI,TotalVeauFemelle_3_6_RacesLaitières,TotalBovinsFemelles_3_6mois*NbreJoursNourrirBovins))</f>
        <v>0</v>
      </c>
      <c r="BI269" s="333">
        <f t="array" ref="BI269">IF(Ration_complète_bovins[somme]&gt;0,0,IFERROR(IF(OR(AND(INDEX(Règles_bovins[Specificite],MATCH(ChoixRationBovins&amp;$BB269,Règles_bovins[Ration]&amp;Règles_bovins[Aliment],0))="s1",IF($BB269=Spécificité1Bovins,1)),
AND(INDEX(Règles_bovins[Specificite],MATCH(ChoixRationBovins&amp;$BB269,Règles_bovins[Ration]&amp;Règles_bovins[Aliment],0))="s2",IF($BB269=Spécificité2Bovins,1)),
INDEX(Règles_bovins[Specificite],MATCH(ChoixRationBovins&amp;$BB269,Règles_bovins[Ration]&amp;Règles_bovins[Aliment],0))="c"),
INDEX(Règles_bovins[Valeur 0-3],MATCH(ChoixRationBovins&amp;$BB269,Règles_bovins[Ration]&amp;Règles_bovins[Aliment],0)),0),0)*IF(ChoixBovinsPréHiver=OUI,TotalVeauFemelle_0_3_RacesLaitières,TotalBovinsFemelles_0_3mois*NbreJoursNourrirBovins))</f>
        <v>0</v>
      </c>
      <c r="BJ269" s="334">
        <f t="shared" si="15"/>
        <v>0</v>
      </c>
    </row>
    <row r="270" spans="1:85" ht="12.75" customHeight="1" x14ac:dyDescent="0.2">
      <c r="A270" s="276"/>
      <c r="B270" s="276"/>
      <c r="BB270" s="332">
        <f t="shared" si="16"/>
        <v>0</v>
      </c>
      <c r="BC270" s="333">
        <f t="array" ref="BC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36 et plus],MATCH(ChoixRationBovins&amp;$BB270,Règles_bovins[Ration]&amp;Règles_bovins[Aliment],0)),0),0)*IF(ChoixBovinsPréHiver=OUI,TotalVachesRacesLaitières,TotalVaches*NbreJoursNourrirBovins))</f>
        <v>0</v>
      </c>
      <c r="BD270" s="333">
        <f t="array" ref="BD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24-36],MATCH(ChoixRationBovins&amp;$BB270,Règles_bovins[Ration]&amp;Règles_bovins[Aliment],0)),0),0)*IF(ChoixBovinsPréHiver=OUI,TotalGénisse_24_36_RacesLaitières,TotalBovinsFemelles_24_36mois*NbreJoursNourrirBovins))</f>
        <v>0</v>
      </c>
      <c r="BE270" s="333">
        <f t="array" ref="BE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18-24],MATCH(ChoixRationBovins&amp;$BB270,Règles_bovins[Ration]&amp;Règles_bovins[Aliment],0)),0),0)*IF(ChoixBovinsPréHiver=OUI,TotalGénisse_18_24_RacesLaitières,TotalBovinsFemelles_18_24mois*NbreJoursNourrirBovins))</f>
        <v>0</v>
      </c>
      <c r="BF270" s="333">
        <f t="array" ref="BF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12-18],MATCH(ChoixRationBovins&amp;$BB270,Règles_bovins[Ration]&amp;Règles_bovins[Aliment],0)),0),0)*IF(ChoixBovinsPréHiver=OUI,TotalGénisse_12_18_RacesLaitières,TotalBovinsFemelles_12_18mois*NbreJoursNourrirBovins))</f>
        <v>0</v>
      </c>
      <c r="BG270" s="333">
        <f t="array" ref="BG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6-12],MATCH(ChoixRationBovins&amp;$BB270,Règles_bovins[Ration]&amp;Règles_bovins[Aliment],0)),0),0)*IF(ChoixBovinsPréHiver=OUI,TotalVeauFemelle_6_12_RacesLaitières,TotalBovinsFemelles_6_12mois*NbreJoursNourrirBovins))</f>
        <v>0</v>
      </c>
      <c r="BH270" s="333">
        <f t="array" ref="BH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3-6],MATCH(ChoixRationBovins&amp;$BB270,Règles_bovins[Ration]&amp;Règles_bovins[Aliment],0)),0),0)*IF(ChoixBovinsPréHiver=OUI,TotalVeauFemelle_3_6_RacesLaitières,TotalBovinsFemelles_3_6mois*NbreJoursNourrirBovins))</f>
        <v>0</v>
      </c>
      <c r="BI270" s="333">
        <f t="array" ref="BI270">IF(Ration_complète_bovins[somme]&gt;0,0,IFERROR(IF(OR(AND(INDEX(Règles_bovins[Specificite],MATCH(ChoixRationBovins&amp;$BB270,Règles_bovins[Ration]&amp;Règles_bovins[Aliment],0))="s1",IF($BB270=Spécificité1Bovins,1)),
AND(INDEX(Règles_bovins[Specificite],MATCH(ChoixRationBovins&amp;$BB270,Règles_bovins[Ration]&amp;Règles_bovins[Aliment],0))="s2",IF($BB270=Spécificité2Bovins,1)),
INDEX(Règles_bovins[Specificite],MATCH(ChoixRationBovins&amp;$BB270,Règles_bovins[Ration]&amp;Règles_bovins[Aliment],0))="c"),
INDEX(Règles_bovins[Valeur 0-3],MATCH(ChoixRationBovins&amp;$BB270,Règles_bovins[Ration]&amp;Règles_bovins[Aliment],0)),0),0)*IF(ChoixBovinsPréHiver=OUI,TotalVeauFemelle_0_3_RacesLaitières,TotalBovinsFemelles_0_3mois*NbreJoursNourrirBovins))</f>
        <v>0</v>
      </c>
      <c r="BJ270" s="334">
        <f t="shared" si="15"/>
        <v>0</v>
      </c>
    </row>
    <row r="271" spans="1:85" ht="12.75" customHeight="1" x14ac:dyDescent="0.2">
      <c r="A271" s="278"/>
      <c r="BB271" s="332">
        <f t="shared" si="16"/>
        <v>0</v>
      </c>
      <c r="BC271" s="333">
        <f t="array" ref="BC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36 et plus],MATCH(ChoixRationBovins&amp;$BB271,Règles_bovins[Ration]&amp;Règles_bovins[Aliment],0)),0),0)*IF(ChoixBovinsPréHiver=OUI,TotalVachesRacesLaitières,TotalVaches*NbreJoursNourrirBovins))</f>
        <v>0</v>
      </c>
      <c r="BD271" s="333">
        <f t="array" ref="BD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24-36],MATCH(ChoixRationBovins&amp;$BB271,Règles_bovins[Ration]&amp;Règles_bovins[Aliment],0)),0),0)*IF(ChoixBovinsPréHiver=OUI,TotalGénisse_24_36_RacesLaitières,TotalBovinsFemelles_24_36mois*NbreJoursNourrirBovins))</f>
        <v>0</v>
      </c>
      <c r="BE271" s="333">
        <f t="array" ref="BE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18-24],MATCH(ChoixRationBovins&amp;$BB271,Règles_bovins[Ration]&amp;Règles_bovins[Aliment],0)),0),0)*IF(ChoixBovinsPréHiver=OUI,TotalGénisse_18_24_RacesLaitières,TotalBovinsFemelles_18_24mois*NbreJoursNourrirBovins))</f>
        <v>0</v>
      </c>
      <c r="BF271" s="333">
        <f t="array" ref="BF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12-18],MATCH(ChoixRationBovins&amp;$BB271,Règles_bovins[Ration]&amp;Règles_bovins[Aliment],0)),0),0)*IF(ChoixBovinsPréHiver=OUI,TotalGénisse_12_18_RacesLaitières,TotalBovinsFemelles_12_18mois*NbreJoursNourrirBovins))</f>
        <v>0</v>
      </c>
      <c r="BG271" s="333">
        <f t="array" ref="BG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6-12],MATCH(ChoixRationBovins&amp;$BB271,Règles_bovins[Ration]&amp;Règles_bovins[Aliment],0)),0),0)*IF(ChoixBovinsPréHiver=OUI,TotalVeauFemelle_6_12_RacesLaitières,TotalBovinsFemelles_6_12mois*NbreJoursNourrirBovins))</f>
        <v>0</v>
      </c>
      <c r="BH271" s="333">
        <f t="array" ref="BH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3-6],MATCH(ChoixRationBovins&amp;$BB271,Règles_bovins[Ration]&amp;Règles_bovins[Aliment],0)),0),0)*IF(ChoixBovinsPréHiver=OUI,TotalVeauFemelle_3_6_RacesLaitières,TotalBovinsFemelles_3_6mois*NbreJoursNourrirBovins))</f>
        <v>0</v>
      </c>
      <c r="BI271" s="333">
        <f t="array" ref="BI271">IF(Ration_complète_bovins[somme]&gt;0,0,IFERROR(IF(OR(AND(INDEX(Règles_bovins[Specificite],MATCH(ChoixRationBovins&amp;$BB271,Règles_bovins[Ration]&amp;Règles_bovins[Aliment],0))="s1",IF($BB271=Spécificité1Bovins,1)),
AND(INDEX(Règles_bovins[Specificite],MATCH(ChoixRationBovins&amp;$BB271,Règles_bovins[Ration]&amp;Règles_bovins[Aliment],0))="s2",IF($BB271=Spécificité2Bovins,1)),
INDEX(Règles_bovins[Specificite],MATCH(ChoixRationBovins&amp;$BB271,Règles_bovins[Ration]&amp;Règles_bovins[Aliment],0))="c"),
INDEX(Règles_bovins[Valeur 0-3],MATCH(ChoixRationBovins&amp;$BB271,Règles_bovins[Ration]&amp;Règles_bovins[Aliment],0)),0),0)*IF(ChoixBovinsPréHiver=OUI,TotalVeauFemelle_0_3_RacesLaitières,TotalBovinsFemelles_0_3mois*NbreJoursNourrirBovins))</f>
        <v>0</v>
      </c>
      <c r="BJ271" s="334">
        <f t="shared" si="15"/>
        <v>0</v>
      </c>
    </row>
    <row r="272" spans="1:85" ht="12.75" customHeight="1" x14ac:dyDescent="0.2">
      <c r="A272" s="278"/>
      <c r="BB272" s="332">
        <f t="shared" si="16"/>
        <v>0</v>
      </c>
      <c r="BC272" s="333">
        <f t="array" ref="BC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36 et plus],MATCH(ChoixRationBovins&amp;$BB272,Règles_bovins[Ration]&amp;Règles_bovins[Aliment],0)),0),0)*IF(ChoixBovinsPréHiver=OUI,TotalVachesRacesLaitières,TotalVaches*NbreJoursNourrirBovins))</f>
        <v>0</v>
      </c>
      <c r="BD272" s="333">
        <f t="array" ref="BD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24-36],MATCH(ChoixRationBovins&amp;$BB272,Règles_bovins[Ration]&amp;Règles_bovins[Aliment],0)),0),0)*IF(ChoixBovinsPréHiver=OUI,TotalGénisse_24_36_RacesLaitières,TotalBovinsFemelles_24_36mois*NbreJoursNourrirBovins))</f>
        <v>0</v>
      </c>
      <c r="BE272" s="333">
        <f t="array" ref="BE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18-24],MATCH(ChoixRationBovins&amp;$BB272,Règles_bovins[Ration]&amp;Règles_bovins[Aliment],0)),0),0)*IF(ChoixBovinsPréHiver=OUI,TotalGénisse_18_24_RacesLaitières,TotalBovinsFemelles_18_24mois*NbreJoursNourrirBovins))</f>
        <v>0</v>
      </c>
      <c r="BF272" s="333">
        <f t="array" ref="BF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12-18],MATCH(ChoixRationBovins&amp;$BB272,Règles_bovins[Ration]&amp;Règles_bovins[Aliment],0)),0),0)*IF(ChoixBovinsPréHiver=OUI,TotalGénisse_12_18_RacesLaitières,TotalBovinsFemelles_12_18mois*NbreJoursNourrirBovins))</f>
        <v>0</v>
      </c>
      <c r="BG272" s="333">
        <f t="array" ref="BG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6-12],MATCH(ChoixRationBovins&amp;$BB272,Règles_bovins[Ration]&amp;Règles_bovins[Aliment],0)),0),0)*IF(ChoixBovinsPréHiver=OUI,TotalVeauFemelle_6_12_RacesLaitières,TotalBovinsFemelles_6_12mois*NbreJoursNourrirBovins))</f>
        <v>0</v>
      </c>
      <c r="BH272" s="333">
        <f t="array" ref="BH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3-6],MATCH(ChoixRationBovins&amp;$BB272,Règles_bovins[Ration]&amp;Règles_bovins[Aliment],0)),0),0)*IF(ChoixBovinsPréHiver=OUI,TotalVeauFemelle_3_6_RacesLaitières,TotalBovinsFemelles_3_6mois*NbreJoursNourrirBovins))</f>
        <v>0</v>
      </c>
      <c r="BI272" s="333">
        <f t="array" ref="BI272">IF(Ration_complète_bovins[somme]&gt;0,0,IFERROR(IF(OR(AND(INDEX(Règles_bovins[Specificite],MATCH(ChoixRationBovins&amp;$BB272,Règles_bovins[Ration]&amp;Règles_bovins[Aliment],0))="s1",IF($BB272=Spécificité1Bovins,1)),
AND(INDEX(Règles_bovins[Specificite],MATCH(ChoixRationBovins&amp;$BB272,Règles_bovins[Ration]&amp;Règles_bovins[Aliment],0))="s2",IF($BB272=Spécificité2Bovins,1)),
INDEX(Règles_bovins[Specificite],MATCH(ChoixRationBovins&amp;$BB272,Règles_bovins[Ration]&amp;Règles_bovins[Aliment],0))="c"),
INDEX(Règles_bovins[Valeur 0-3],MATCH(ChoixRationBovins&amp;$BB272,Règles_bovins[Ration]&amp;Règles_bovins[Aliment],0)),0),0)*IF(ChoixBovinsPréHiver=OUI,TotalVeauFemelle_0_3_RacesLaitières,TotalBovinsFemelles_0_3mois*NbreJoursNourrirBovins))</f>
        <v>0</v>
      </c>
      <c r="BJ272" s="334">
        <f t="shared" si="15"/>
        <v>0</v>
      </c>
    </row>
    <row r="273" spans="1:85" ht="12.75" customHeight="1" x14ac:dyDescent="0.2">
      <c r="A273" s="276"/>
      <c r="B273" s="276"/>
      <c r="BB273" s="332">
        <f t="shared" si="16"/>
        <v>0</v>
      </c>
      <c r="BC273" s="333">
        <f t="array" ref="BC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36 et plus],MATCH(ChoixRationBovins&amp;$BB273,Règles_bovins[Ration]&amp;Règles_bovins[Aliment],0)),0),0)*IF(ChoixBovinsPréHiver=OUI,TotalVachesRacesLaitières,TotalVaches*NbreJoursNourrirBovins))</f>
        <v>0</v>
      </c>
      <c r="BD273" s="333">
        <f t="array" ref="BD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24-36],MATCH(ChoixRationBovins&amp;$BB273,Règles_bovins[Ration]&amp;Règles_bovins[Aliment],0)),0),0)*IF(ChoixBovinsPréHiver=OUI,TotalGénisse_24_36_RacesLaitières,TotalBovinsFemelles_24_36mois*NbreJoursNourrirBovins))</f>
        <v>0</v>
      </c>
      <c r="BE273" s="333">
        <f t="array" ref="BE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18-24],MATCH(ChoixRationBovins&amp;$BB273,Règles_bovins[Ration]&amp;Règles_bovins[Aliment],0)),0),0)*IF(ChoixBovinsPréHiver=OUI,TotalGénisse_18_24_RacesLaitières,TotalBovinsFemelles_18_24mois*NbreJoursNourrirBovins))</f>
        <v>0</v>
      </c>
      <c r="BF273" s="333">
        <f t="array" ref="BF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12-18],MATCH(ChoixRationBovins&amp;$BB273,Règles_bovins[Ration]&amp;Règles_bovins[Aliment],0)),0),0)*IF(ChoixBovinsPréHiver=OUI,TotalGénisse_12_18_RacesLaitières,TotalBovinsFemelles_12_18mois*NbreJoursNourrirBovins))</f>
        <v>0</v>
      </c>
      <c r="BG273" s="333">
        <f t="array" ref="BG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6-12],MATCH(ChoixRationBovins&amp;$BB273,Règles_bovins[Ration]&amp;Règles_bovins[Aliment],0)),0),0)*IF(ChoixBovinsPréHiver=OUI,TotalVeauFemelle_6_12_RacesLaitières,TotalBovinsFemelles_6_12mois*NbreJoursNourrirBovins))</f>
        <v>0</v>
      </c>
      <c r="BH273" s="333">
        <f t="array" ref="BH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3-6],MATCH(ChoixRationBovins&amp;$BB273,Règles_bovins[Ration]&amp;Règles_bovins[Aliment],0)),0),0)*IF(ChoixBovinsPréHiver=OUI,TotalVeauFemelle_3_6_RacesLaitières,TotalBovinsFemelles_3_6mois*NbreJoursNourrirBovins))</f>
        <v>0</v>
      </c>
      <c r="BI273" s="333">
        <f t="array" ref="BI273">IF(Ration_complète_bovins[somme]&gt;0,0,IFERROR(IF(OR(AND(INDEX(Règles_bovins[Specificite],MATCH(ChoixRationBovins&amp;$BB273,Règles_bovins[Ration]&amp;Règles_bovins[Aliment],0))="s1",IF($BB273=Spécificité1Bovins,1)),
AND(INDEX(Règles_bovins[Specificite],MATCH(ChoixRationBovins&amp;$BB273,Règles_bovins[Ration]&amp;Règles_bovins[Aliment],0))="s2",IF($BB273=Spécificité2Bovins,1)),
INDEX(Règles_bovins[Specificite],MATCH(ChoixRationBovins&amp;$BB273,Règles_bovins[Ration]&amp;Règles_bovins[Aliment],0))="c"),
INDEX(Règles_bovins[Valeur 0-3],MATCH(ChoixRationBovins&amp;$BB273,Règles_bovins[Ration]&amp;Règles_bovins[Aliment],0)),0),0)*IF(ChoixBovinsPréHiver=OUI,TotalVeauFemelle_0_3_RacesLaitières,TotalBovinsFemelles_0_3mois*NbreJoursNourrirBovins))</f>
        <v>0</v>
      </c>
      <c r="BJ273" s="334">
        <f t="shared" si="15"/>
        <v>0</v>
      </c>
      <c r="CD273" s="295"/>
      <c r="CE273" s="295"/>
      <c r="CF273" s="295"/>
      <c r="CG273" s="295"/>
    </row>
    <row r="274" spans="1:85" ht="12.75" customHeight="1" x14ac:dyDescent="0.2">
      <c r="A274" s="276"/>
      <c r="B274" s="276"/>
      <c r="BB274" s="332">
        <f t="shared" si="16"/>
        <v>0</v>
      </c>
      <c r="BC274" s="333">
        <f t="array" ref="BC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36 et plus],MATCH(ChoixRationBovins&amp;$BB274,Règles_bovins[Ration]&amp;Règles_bovins[Aliment],0)),0),0)*IF(ChoixBovinsPréHiver=OUI,TotalVachesRacesLaitières,TotalVaches*NbreJoursNourrirBovins))</f>
        <v>0</v>
      </c>
      <c r="BD274" s="333">
        <f t="array" ref="BD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24-36],MATCH(ChoixRationBovins&amp;$BB274,Règles_bovins[Ration]&amp;Règles_bovins[Aliment],0)),0),0)*IF(ChoixBovinsPréHiver=OUI,TotalGénisse_24_36_RacesLaitières,TotalBovinsFemelles_24_36mois*NbreJoursNourrirBovins))</f>
        <v>0</v>
      </c>
      <c r="BE274" s="333">
        <f t="array" ref="BE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18-24],MATCH(ChoixRationBovins&amp;$BB274,Règles_bovins[Ration]&amp;Règles_bovins[Aliment],0)),0),0)*IF(ChoixBovinsPréHiver=OUI,TotalGénisse_18_24_RacesLaitières,TotalBovinsFemelles_18_24mois*NbreJoursNourrirBovins))</f>
        <v>0</v>
      </c>
      <c r="BF274" s="333">
        <f t="array" ref="BF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12-18],MATCH(ChoixRationBovins&amp;$BB274,Règles_bovins[Ration]&amp;Règles_bovins[Aliment],0)),0),0)*IF(ChoixBovinsPréHiver=OUI,TotalGénisse_12_18_RacesLaitières,TotalBovinsFemelles_12_18mois*NbreJoursNourrirBovins))</f>
        <v>0</v>
      </c>
      <c r="BG274" s="333">
        <f t="array" ref="BG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6-12],MATCH(ChoixRationBovins&amp;$BB274,Règles_bovins[Ration]&amp;Règles_bovins[Aliment],0)),0),0)*IF(ChoixBovinsPréHiver=OUI,TotalVeauFemelle_6_12_RacesLaitières,TotalBovinsFemelles_6_12mois*NbreJoursNourrirBovins))</f>
        <v>0</v>
      </c>
      <c r="BH274" s="333">
        <f t="array" ref="BH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3-6],MATCH(ChoixRationBovins&amp;$BB274,Règles_bovins[Ration]&amp;Règles_bovins[Aliment],0)),0),0)*IF(ChoixBovinsPréHiver=OUI,TotalVeauFemelle_3_6_RacesLaitières,TotalBovinsFemelles_3_6mois*NbreJoursNourrirBovins))</f>
        <v>0</v>
      </c>
      <c r="BI274" s="333">
        <f t="array" ref="BI274">IF(Ration_complète_bovins[somme]&gt;0,0,IFERROR(IF(OR(AND(INDEX(Règles_bovins[Specificite],MATCH(ChoixRationBovins&amp;$BB274,Règles_bovins[Ration]&amp;Règles_bovins[Aliment],0))="s1",IF($BB274=Spécificité1Bovins,1)),
AND(INDEX(Règles_bovins[Specificite],MATCH(ChoixRationBovins&amp;$BB274,Règles_bovins[Ration]&amp;Règles_bovins[Aliment],0))="s2",IF($BB274=Spécificité2Bovins,1)),
INDEX(Règles_bovins[Specificite],MATCH(ChoixRationBovins&amp;$BB274,Règles_bovins[Ration]&amp;Règles_bovins[Aliment],0))="c"),
INDEX(Règles_bovins[Valeur 0-3],MATCH(ChoixRationBovins&amp;$BB274,Règles_bovins[Ration]&amp;Règles_bovins[Aliment],0)),0),0)*IF(ChoixBovinsPréHiver=OUI,TotalVeauFemelle_0_3_RacesLaitières,TotalBovinsFemelles_0_3mois*NbreJoursNourrirBovins))</f>
        <v>0</v>
      </c>
      <c r="BJ274" s="334">
        <f t="shared" si="15"/>
        <v>0</v>
      </c>
      <c r="CD274" s="295"/>
      <c r="CE274" s="295"/>
      <c r="CF274" s="295"/>
      <c r="CG274" s="295"/>
    </row>
    <row r="275" spans="1:85" ht="12.75" customHeight="1" x14ac:dyDescent="0.2">
      <c r="A275" s="276"/>
      <c r="B275" s="276"/>
      <c r="BB275" s="314"/>
      <c r="BC275" s="315"/>
      <c r="BD275" s="315"/>
      <c r="BE275" s="315"/>
      <c r="BF275" s="315"/>
      <c r="BG275" s="315"/>
      <c r="BH275" s="315"/>
      <c r="BI275" s="315"/>
      <c r="BJ275" s="316"/>
      <c r="CD275" s="295"/>
      <c r="CE275" s="295"/>
      <c r="CF275" s="295"/>
      <c r="CG275" s="295"/>
    </row>
    <row r="276" spans="1:85" ht="12.75" customHeight="1" x14ac:dyDescent="0.2">
      <c r="A276" s="276"/>
      <c r="B276" s="276"/>
      <c r="BB276" s="229" t="s">
        <v>736</v>
      </c>
      <c r="BC276" s="326"/>
      <c r="BD276" s="326"/>
      <c r="BE276" s="326"/>
      <c r="BF276" s="326"/>
      <c r="BG276" s="326"/>
      <c r="BH276" s="326"/>
      <c r="BI276" s="326"/>
      <c r="BJ276" s="328"/>
      <c r="CD276" s="295"/>
      <c r="CE276" s="295"/>
      <c r="CF276" s="295"/>
      <c r="CG276" s="295"/>
    </row>
    <row r="277" spans="1:85" ht="12.75" customHeight="1" x14ac:dyDescent="0.2">
      <c r="A277" s="276"/>
      <c r="B277" s="276"/>
      <c r="BB277" s="376" t="s">
        <v>734</v>
      </c>
      <c r="BC277" s="377" t="s">
        <v>727</v>
      </c>
      <c r="BD277" s="377" t="s">
        <v>726</v>
      </c>
      <c r="BE277" s="377" t="s">
        <v>725</v>
      </c>
      <c r="BF277" s="377" t="s">
        <v>724</v>
      </c>
      <c r="BG277" s="377" t="s">
        <v>723</v>
      </c>
      <c r="BH277" s="377" t="s">
        <v>722</v>
      </c>
      <c r="BI277" s="377" t="s">
        <v>721</v>
      </c>
      <c r="BJ277" s="378" t="s">
        <v>728</v>
      </c>
      <c r="CD277" s="295"/>
      <c r="CE277" s="295"/>
      <c r="CF277" s="295"/>
      <c r="CG277" s="295"/>
    </row>
    <row r="278" spans="1:85" ht="12.75" customHeight="1" x14ac:dyDescent="0.2">
      <c r="A278" s="276"/>
      <c r="B278" s="276"/>
      <c r="BB278" s="379" t="s">
        <v>434</v>
      </c>
      <c r="BC278" s="380">
        <f t="array" ref="BC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36 et plus],MATCH(ChoixRationBovins&amp;Ration_complète_bovins[[#This Row],[aliment]],Règles_bovins[Ration]&amp;Règles_bovins[Aliment],0)),0),0)*SUM(TotalBovinsAdultes)*SUM(AA76:AA100),0)</f>
        <v>0</v>
      </c>
      <c r="BD278" s="380">
        <f t="array" ref="BD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24-36],MATCH(ChoixRationBovins&amp;Ration_complète_bovins[[#This Row],[aliment]],Règles_bovins[Ration]&amp;Règles_bovins[Aliment],0)),0),0)*SUM(TotalBovins_24_36mois)*SUM(AA76:AA100),0)</f>
        <v>0</v>
      </c>
      <c r="BE278" s="380">
        <f t="array" ref="BE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18-24],MATCH(ChoixRationBovins&amp;Ration_complète_bovins[[#This Row],[aliment]],Règles_bovins[Ration]&amp;Règles_bovins[Aliment],0)),0),0)*SUM(TotalBovins_18_24mois)*SUM(AA76:AA100),0)</f>
        <v>0</v>
      </c>
      <c r="BF278" s="380">
        <f t="array" ref="BF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12-18],MATCH(ChoixRationBovins&amp;Ration_complète_bovins[[#This Row],[aliment]],Règles_bovins[Ration]&amp;Règles_bovins[Aliment],0)),0),0)*SUM(TotalBovins_12_18mois)*SUM(AA76:AA100),0)</f>
        <v>0</v>
      </c>
      <c r="BG278" s="380">
        <f t="array" ref="BG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6-12],MATCH(ChoixRationBovins&amp;Ration_complète_bovins[[#This Row],[aliment]],Règles_bovins[Ration]&amp;Règles_bovins[Aliment],0)),0),0)*SUM(TotalBovins_6_12mois)*SUM(AA76:AA100),0)</f>
        <v>0</v>
      </c>
      <c r="BH278" s="380">
        <f t="array" ref="BH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3-6],MATCH(ChoixRationBovins&amp;Ration_complète_bovins[[#This Row],[aliment]],Règles_bovins[Ration]&amp;Règles_bovins[Aliment],0)),0),0)*SUM(TotalBovins_3_6mois)*SUM(AA76:AA100),0)</f>
        <v>0</v>
      </c>
      <c r="BI278" s="380">
        <f t="array" ref="BI278">IF(ChoixRationComplèteBovins=OUI,IFERROR(IF(OR(AND(INDEX(Règles_bovins[Specificite],MATCH(ChoixRationBovins&amp;Ration_complète_bovins[[#This Row],[aliment]],Règles_bovins[Ration]&amp;Règles_bovins[Aliment],0))="s1",IF(Ration_complète_bovins[[#This Row],[aliment]]=Spécificité1Bovins,1)),
AND(INDEX(Règles_bovins[Specificite],MATCH(ChoixRationBovins&amp;Ration_complète_bovins[[#This Row],[aliment]],Règles_bovins[Ration]&amp;Règles_bovins[Aliment],0))="s2",IF(Ration_complète_bovins[[#This Row],[aliment]]=Spécificité2Bovins,1)),
INDEX(Règles_bovins[Specificite],MATCH(ChoixRationBovins&amp;Ration_complète_bovins[[#This Row],[aliment]],Règles_bovins[Ration]&amp;Règles_bovins[Aliment],0))="c",INDEX(Règles_bovins[Specificite],MATCH(ChoixRationBovins&amp;Ration_complète_bovins[[#This Row],[aliment]],Règles_bovins[Ration]&amp;Règles_bovins[Aliment],0))="complet"),
INDEX(Règles_bovins[Valeur 0-3],MATCH(ChoixRationBovins&amp;Ration_complète_bovins[[#This Row],[aliment]],Règles_bovins[Ration]&amp;Règles_bovins[Aliment],0)),0),0)*SUM(TotalBovins_0_3mois)*SUM(AA76:AA100),0)</f>
        <v>0</v>
      </c>
      <c r="BJ278" s="381">
        <f>SUM(Ration_complète_bovins[[Val 36 et plus]:[Val 0-3]])</f>
        <v>0</v>
      </c>
      <c r="CD278" s="295"/>
      <c r="CE278" s="295"/>
      <c r="CF278" s="295"/>
      <c r="CG278" s="295"/>
    </row>
    <row r="279" spans="1:85" ht="12.75" customHeight="1" x14ac:dyDescent="0.2">
      <c r="A279" s="276"/>
      <c r="B279" s="276"/>
      <c r="BC279" s="307"/>
      <c r="BD279" s="307"/>
      <c r="BE279" s="307"/>
      <c r="BF279" s="307"/>
      <c r="BG279" s="307"/>
      <c r="BH279" s="307"/>
      <c r="BI279" s="307"/>
      <c r="BJ279" s="313"/>
      <c r="CD279" s="295"/>
      <c r="CE279" s="295"/>
      <c r="CF279" s="295"/>
      <c r="CG279" s="295"/>
    </row>
    <row r="280" spans="1:85" ht="12.75" customHeight="1" x14ac:dyDescent="0.2">
      <c r="A280" s="276"/>
      <c r="B280" s="276"/>
      <c r="BC280" s="307"/>
      <c r="BD280" s="307"/>
      <c r="BE280" s="307"/>
      <c r="BF280" s="307"/>
      <c r="BG280" s="307"/>
      <c r="BH280" s="307"/>
      <c r="BI280" s="307"/>
      <c r="BJ280" s="313"/>
      <c r="CD280" s="295"/>
      <c r="CE280" s="295"/>
      <c r="CF280" s="295"/>
      <c r="CG280" s="295"/>
    </row>
    <row r="281" spans="1:85" ht="12.75" customHeight="1" x14ac:dyDescent="0.2">
      <c r="A281" s="276"/>
      <c r="B281" s="276"/>
      <c r="BC281" s="307"/>
      <c r="BD281" s="307"/>
      <c r="BE281" s="307"/>
      <c r="BF281" s="307"/>
      <c r="BG281" s="307"/>
      <c r="BH281" s="307"/>
      <c r="BI281" s="307"/>
      <c r="BJ281" s="313"/>
      <c r="CD281" s="295"/>
      <c r="CE281" s="295"/>
      <c r="CF281" s="295"/>
      <c r="CG281" s="295"/>
    </row>
    <row r="282" spans="1:85" ht="12.75" customHeight="1" x14ac:dyDescent="0.2">
      <c r="A282" s="276"/>
      <c r="B282" s="276"/>
      <c r="BB282" s="229" t="s">
        <v>700</v>
      </c>
      <c r="BC282" s="229"/>
      <c r="BD282" s="229"/>
      <c r="BE282" s="229"/>
      <c r="BF282" s="229"/>
      <c r="BG282" s="229"/>
      <c r="BH282" s="229"/>
      <c r="BI282" s="229"/>
      <c r="BJ282" s="229"/>
      <c r="CD282" s="295"/>
      <c r="CE282" s="295"/>
      <c r="CF282" s="295"/>
      <c r="CG282" s="295"/>
    </row>
    <row r="283" spans="1:85" ht="12.75" customHeight="1" x14ac:dyDescent="0.2">
      <c r="A283" s="276"/>
      <c r="B283" s="276"/>
      <c r="BB283" s="331" t="s">
        <v>734</v>
      </c>
      <c r="BC283" s="331" t="s">
        <v>727</v>
      </c>
      <c r="BD283" s="331" t="s">
        <v>726</v>
      </c>
      <c r="BE283" s="331" t="s">
        <v>725</v>
      </c>
      <c r="BF283" s="331" t="s">
        <v>724</v>
      </c>
      <c r="BG283" s="331" t="s">
        <v>723</v>
      </c>
      <c r="BH283" s="331" t="s">
        <v>722</v>
      </c>
      <c r="BI283" s="331" t="s">
        <v>721</v>
      </c>
      <c r="BJ283" s="331" t="s">
        <v>728</v>
      </c>
      <c r="CD283" s="295"/>
      <c r="CE283" s="295"/>
      <c r="CF283" s="295"/>
      <c r="CG283" s="295"/>
    </row>
    <row r="284" spans="1:85" ht="12.75" customHeight="1" x14ac:dyDescent="0.2">
      <c r="A284" s="276"/>
      <c r="B284" s="276"/>
      <c r="BB284" s="332" t="str">
        <f>BB194</f>
        <v>Avoine</v>
      </c>
      <c r="BC284" s="332">
        <f t="array" ref="BC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36 et plus],MATCH(RationHivernaleBovinsAuPré&amp;$BB284,Règles_bovins[Ration]&amp;Règles_bovins[Aliment],0)),0),0)*IF(SUM(TotalBovinsAdultesAuPré)&gt;0,SUM(TotalBovinsAdultesAuPré),SUM(TotalBovinsAdultes))*35</f>
        <v>0</v>
      </c>
      <c r="BD284" s="332">
        <f t="array" ref="BD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24-36],MATCH(RationHivernaleBovinsAuPré&amp;$BB284,Règles_bovins[Ration]&amp;Règles_bovins[Aliment],0)),0),0)*IF(SUM(TotalBovins_24_36moisAuPré)&gt;0,SUM(TotalBovins_24_36moisAuPré),SUM(TotalBovins_24_36mois))*35</f>
        <v>0</v>
      </c>
      <c r="BE284" s="332">
        <f t="array" ref="BE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18-24],MATCH(RationHivernaleBovinsAuPré&amp;$BB284,Règles_bovins[Ration]&amp;Règles_bovins[Aliment],0)),0),0)*IF(SUM(TotalBovins_18_24moisAuPré)&gt;0,SUM(TotalBovins_18_24moisAuPré),SUM(TotalBovins_18_24mois))*35</f>
        <v>0</v>
      </c>
      <c r="BF284" s="332">
        <f t="array" ref="BF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12-18],MATCH(RationHivernaleBovinsAuPré&amp;$BB284,Règles_bovins[Ration]&amp;Règles_bovins[Aliment],0)),0),0)*IF(SUM(TotalBovins_12_18moisAuPré)&gt;0,SUM(TotalBovins_12_18moisAuPré),SUM(TotalBovins_12_18mois))*35</f>
        <v>0</v>
      </c>
      <c r="BG284" s="332">
        <f t="array" ref="BG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6-12],MATCH(RationHivernaleBovinsAuPré&amp;$BB284,Règles_bovins[Ration]&amp;Règles_bovins[Aliment],0)),0),0)*IF(SUM(TotalBovins_6_12moisAuPré)&gt;0,SUM(TotalBovins_6_12moisAuPré),SUM(TotalBovins_6_12mois))*35</f>
        <v>0</v>
      </c>
      <c r="BH284" s="332">
        <f t="array" ref="BH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3-6],MATCH(RationHivernaleBovinsAuPré&amp;$BB284,Règles_bovins[Ration]&amp;Règles_bovins[Aliment],0)),0),0)*IF(SUM(TotalBovins_3_6moisAuPré)&gt;0,SUM(TotalBovins_3_6moisAuPré),SUM(TotalBovins_3_6mois))*35</f>
        <v>0</v>
      </c>
      <c r="BI284" s="332">
        <f t="array" ref="BI284">IFERROR(IF(OR(AND(INDEX(Règles_bovins[Specificite],MATCH(RationHivernaleBovinsAuPré&amp;$BB284,Règles_bovins[Ration]&amp;Règles_bovins[Aliment],0))="s1",IF($BB284=Spécificité1Bovins,1)),
AND(INDEX(Règles_bovins[Specificite],MATCH(RationHivernaleBovinsAuPré&amp;$BB284,Règles_bovins[Ration]&amp;Règles_bovins[Aliment],0))="s2",IF($BB284=Spécificité2Bovins,1)),
INDEX(Règles_bovins[Specificite],MATCH(RationHivernaleBovinsAuPré&amp;$BB284,Règles_bovins[Ration]&amp;Règles_bovins[Aliment],0))="c"),
INDEX(Règles_bovins[Valeur 0-3],MATCH(RationHivernaleBovinsAuPré&amp;$BB284,Règles_bovins[Ration]&amp;Règles_bovins[Aliment],0)),0),0)*IF(SUM(TotalBovins_0_3moisAuPré)&gt;0,SUM(TotalBovins_0_3moisAuPré),SUM(TotalBovins_0_3mois))*35</f>
        <v>0</v>
      </c>
      <c r="BJ284" s="334">
        <f t="shared" ref="BJ284:BJ323" si="17">SUM($BC284:$BI284)</f>
        <v>0</v>
      </c>
      <c r="BZ284" s="288"/>
    </row>
    <row r="285" spans="1:85" ht="12.75" customHeight="1" x14ac:dyDescent="0.2">
      <c r="A285" s="276"/>
      <c r="B285" s="276"/>
      <c r="BB285" s="332" t="str">
        <f t="shared" ref="BB285:BB323" si="18">BB195</f>
        <v>Betterave</v>
      </c>
      <c r="BC285" s="332">
        <f t="array" ref="BC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36 et plus],MATCH(RationHivernaleBovinsAuPré&amp;$BB285,Règles_bovins[Ration]&amp;Règles_bovins[Aliment],0)),0),0)*IF(SUM(TotalBovinsAdultesAuPré)&gt;0,SUM(TotalBovinsAdultesAuPré),SUM(TotalBovinsAdultes))*35</f>
        <v>0</v>
      </c>
      <c r="BD285" s="332">
        <f t="array" ref="BD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24-36],MATCH(RationHivernaleBovinsAuPré&amp;$BB285,Règles_bovins[Ration]&amp;Règles_bovins[Aliment],0)),0),0)*IF(SUM(TotalBovins_24_36moisAuPré)&gt;0,SUM(TotalBovins_24_36moisAuPré),SUM(TotalBovins_24_36mois))*35</f>
        <v>0</v>
      </c>
      <c r="BE285" s="332">
        <f t="array" ref="BE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18-24],MATCH(RationHivernaleBovinsAuPré&amp;$BB285,Règles_bovins[Ration]&amp;Règles_bovins[Aliment],0)),0),0)*IF(SUM(TotalBovins_18_24moisAuPré)&gt;0,SUM(TotalBovins_18_24moisAuPré),SUM(TotalBovins_18_24mois))*35</f>
        <v>0</v>
      </c>
      <c r="BF285" s="332">
        <f t="array" ref="BF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12-18],MATCH(RationHivernaleBovinsAuPré&amp;$BB285,Règles_bovins[Ration]&amp;Règles_bovins[Aliment],0)),0),0)*IF(SUM(TotalBovins_12_18moisAuPré)&gt;0,SUM(TotalBovins_12_18moisAuPré),SUM(TotalBovins_12_18mois))*35</f>
        <v>0</v>
      </c>
      <c r="BG285" s="332">
        <f t="array" ref="BG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6-12],MATCH(RationHivernaleBovinsAuPré&amp;$BB285,Règles_bovins[Ration]&amp;Règles_bovins[Aliment],0)),0),0)*IF(SUM(TotalBovins_6_12moisAuPré)&gt;0,SUM(TotalBovins_6_12moisAuPré),SUM(TotalBovins_6_12mois))*35</f>
        <v>0</v>
      </c>
      <c r="BH285" s="332">
        <f t="array" ref="BH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3-6],MATCH(RationHivernaleBovinsAuPré&amp;$BB285,Règles_bovins[Ration]&amp;Règles_bovins[Aliment],0)),0),0)*IF(SUM(TotalBovins_3_6moisAuPré)&gt;0,SUM(TotalBovins_3_6moisAuPré),SUM(TotalBovins_3_6mois))*35</f>
        <v>0</v>
      </c>
      <c r="BI285" s="332">
        <f t="array" ref="BI285">IFERROR(IF(OR(AND(INDEX(Règles_bovins[Specificite],MATCH(RationHivernaleBovinsAuPré&amp;$BB285,Règles_bovins[Ration]&amp;Règles_bovins[Aliment],0))="s1",IF($BB285=Spécificité1Bovins,1)),
AND(INDEX(Règles_bovins[Specificite],MATCH(RationHivernaleBovinsAuPré&amp;$BB285,Règles_bovins[Ration]&amp;Règles_bovins[Aliment],0))="s2",IF($BB285=Spécificité2Bovins,1)),
INDEX(Règles_bovins[Specificite],MATCH(RationHivernaleBovinsAuPré&amp;$BB285,Règles_bovins[Ration]&amp;Règles_bovins[Aliment],0))="c"),
INDEX(Règles_bovins[Valeur 0-3],MATCH(RationHivernaleBovinsAuPré&amp;$BB285,Règles_bovins[Ration]&amp;Règles_bovins[Aliment],0)),0),0)*IF(SUM(TotalBovins_0_3moisAuPré)&gt;0,SUM(TotalBovins_0_3moisAuPré),SUM(TotalBovins_0_3mois))*35</f>
        <v>0</v>
      </c>
      <c r="BJ285" s="334">
        <f t="shared" si="17"/>
        <v>0</v>
      </c>
    </row>
    <row r="286" spans="1:85" ht="12.75" customHeight="1" x14ac:dyDescent="0.2">
      <c r="A286" s="276"/>
      <c r="B286" s="276"/>
      <c r="BB286" s="332" t="str">
        <f t="shared" si="18"/>
        <v>Blé</v>
      </c>
      <c r="BC286" s="332">
        <f t="array" ref="BC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36 et plus],MATCH(RationHivernaleBovinsAuPré&amp;$BB286,Règles_bovins[Ration]&amp;Règles_bovins[Aliment],0)),0),0)*IF(SUM(TotalBovinsAdultesAuPré)&gt;0,SUM(TotalBovinsAdultesAuPré),SUM(TotalBovinsAdultes))*35</f>
        <v>0</v>
      </c>
      <c r="BD286" s="332">
        <f t="array" ref="BD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24-36],MATCH(RationHivernaleBovinsAuPré&amp;$BB286,Règles_bovins[Ration]&amp;Règles_bovins[Aliment],0)),0),0)*IF(SUM(TotalBovins_24_36moisAuPré)&gt;0,SUM(TotalBovins_24_36moisAuPré),SUM(TotalBovins_24_36mois))*35</f>
        <v>0</v>
      </c>
      <c r="BE286" s="332">
        <f t="array" ref="BE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18-24],MATCH(RationHivernaleBovinsAuPré&amp;$BB286,Règles_bovins[Ration]&amp;Règles_bovins[Aliment],0)),0),0)*IF(SUM(TotalBovins_18_24moisAuPré)&gt;0,SUM(TotalBovins_18_24moisAuPré),SUM(TotalBovins_18_24mois))*35</f>
        <v>0</v>
      </c>
      <c r="BF286" s="332">
        <f t="array" ref="BF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12-18],MATCH(RationHivernaleBovinsAuPré&amp;$BB286,Règles_bovins[Ration]&amp;Règles_bovins[Aliment],0)),0),0)*IF(SUM(TotalBovins_12_18moisAuPré)&gt;0,SUM(TotalBovins_12_18moisAuPré),SUM(TotalBovins_12_18mois))*35</f>
        <v>0</v>
      </c>
      <c r="BG286" s="332">
        <f t="array" ref="BG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6-12],MATCH(RationHivernaleBovinsAuPré&amp;$BB286,Règles_bovins[Ration]&amp;Règles_bovins[Aliment],0)),0),0)*IF(SUM(TotalBovins_6_12moisAuPré)&gt;0,SUM(TotalBovins_6_12moisAuPré),SUM(TotalBovins_6_12mois))*35</f>
        <v>0</v>
      </c>
      <c r="BH286" s="332">
        <f t="array" ref="BH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3-6],MATCH(RationHivernaleBovinsAuPré&amp;$BB286,Règles_bovins[Ration]&amp;Règles_bovins[Aliment],0)),0),0)*IF(SUM(TotalBovins_3_6moisAuPré)&gt;0,SUM(TotalBovins_3_6moisAuPré),SUM(TotalBovins_3_6mois))*35</f>
        <v>0</v>
      </c>
      <c r="BI286" s="332">
        <f t="array" ref="BI286">IFERROR(IF(OR(AND(INDEX(Règles_bovins[Specificite],MATCH(RationHivernaleBovinsAuPré&amp;$BB286,Règles_bovins[Ration]&amp;Règles_bovins[Aliment],0))="s1",IF($BB286=Spécificité1Bovins,1)),
AND(INDEX(Règles_bovins[Specificite],MATCH(RationHivernaleBovinsAuPré&amp;$BB286,Règles_bovins[Ration]&amp;Règles_bovins[Aliment],0))="s2",IF($BB286=Spécificité2Bovins,1)),
INDEX(Règles_bovins[Specificite],MATCH(RationHivernaleBovinsAuPré&amp;$BB286,Règles_bovins[Ration]&amp;Règles_bovins[Aliment],0))="c"),
INDEX(Règles_bovins[Valeur 0-3],MATCH(RationHivernaleBovinsAuPré&amp;$BB286,Règles_bovins[Ration]&amp;Règles_bovins[Aliment],0)),0),0)*IF(SUM(TotalBovins_0_3moisAuPré)&gt;0,SUM(TotalBovins_0_3moisAuPré),SUM(TotalBovins_0_3mois))*35</f>
        <v>0</v>
      </c>
      <c r="BJ286" s="334">
        <f t="shared" si="17"/>
        <v>0</v>
      </c>
    </row>
    <row r="287" spans="1:85" ht="12.75" customHeight="1" x14ac:dyDescent="0.2">
      <c r="A287" s="276"/>
      <c r="B287" s="276"/>
      <c r="BB287" s="332" t="str">
        <f t="shared" si="18"/>
        <v>Bouchons luzerne</v>
      </c>
      <c r="BC287" s="332">
        <f t="array" ref="BC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36 et plus],MATCH(RationHivernaleBovinsAuPré&amp;$BB287,Règles_bovins[Ration]&amp;Règles_bovins[Aliment],0)),0),0)*IF(SUM(TotalBovinsAdultesAuPré)&gt;0,SUM(TotalBovinsAdultesAuPré),SUM(TotalBovinsAdultes))*35</f>
        <v>0</v>
      </c>
      <c r="BD287" s="332">
        <f t="array" ref="BD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24-36],MATCH(RationHivernaleBovinsAuPré&amp;$BB287,Règles_bovins[Ration]&amp;Règles_bovins[Aliment],0)),0),0)*IF(SUM(TotalBovins_24_36moisAuPré)&gt;0,SUM(TotalBovins_24_36moisAuPré),SUM(TotalBovins_24_36mois))*35</f>
        <v>0</v>
      </c>
      <c r="BE287" s="332">
        <f t="array" ref="BE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18-24],MATCH(RationHivernaleBovinsAuPré&amp;$BB287,Règles_bovins[Ration]&amp;Règles_bovins[Aliment],0)),0),0)*IF(SUM(TotalBovins_18_24moisAuPré)&gt;0,SUM(TotalBovins_18_24moisAuPré),SUM(TotalBovins_18_24mois))*35</f>
        <v>0</v>
      </c>
      <c r="BF287" s="332">
        <f t="array" ref="BF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12-18],MATCH(RationHivernaleBovinsAuPré&amp;$BB287,Règles_bovins[Ration]&amp;Règles_bovins[Aliment],0)),0),0)*IF(SUM(TotalBovins_12_18moisAuPré)&gt;0,SUM(TotalBovins_12_18moisAuPré),SUM(TotalBovins_12_18mois))*35</f>
        <v>0</v>
      </c>
      <c r="BG287" s="332">
        <f t="array" ref="BG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6-12],MATCH(RationHivernaleBovinsAuPré&amp;$BB287,Règles_bovins[Ration]&amp;Règles_bovins[Aliment],0)),0),0)*IF(SUM(TotalBovins_6_12moisAuPré)&gt;0,SUM(TotalBovins_6_12moisAuPré),SUM(TotalBovins_6_12mois))*35</f>
        <v>0</v>
      </c>
      <c r="BH287" s="332">
        <f t="array" ref="BH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3-6],MATCH(RationHivernaleBovinsAuPré&amp;$BB287,Règles_bovins[Ration]&amp;Règles_bovins[Aliment],0)),0),0)*IF(SUM(TotalBovins_3_6moisAuPré)&gt;0,SUM(TotalBovins_3_6moisAuPré),SUM(TotalBovins_3_6mois))*35</f>
        <v>0</v>
      </c>
      <c r="BI287" s="332">
        <f t="array" ref="BI287">IFERROR(IF(OR(AND(INDEX(Règles_bovins[Specificite],MATCH(RationHivernaleBovinsAuPré&amp;$BB287,Règles_bovins[Ration]&amp;Règles_bovins[Aliment],0))="s1",IF($BB287=Spécificité1Bovins,1)),
AND(INDEX(Règles_bovins[Specificite],MATCH(RationHivernaleBovinsAuPré&amp;$BB287,Règles_bovins[Ration]&amp;Règles_bovins[Aliment],0))="s2",IF($BB287=Spécificité2Bovins,1)),
INDEX(Règles_bovins[Specificite],MATCH(RationHivernaleBovinsAuPré&amp;$BB287,Règles_bovins[Ration]&amp;Règles_bovins[Aliment],0))="c"),
INDEX(Règles_bovins[Valeur 0-3],MATCH(RationHivernaleBovinsAuPré&amp;$BB287,Règles_bovins[Ration]&amp;Règles_bovins[Aliment],0)),0),0)*IF(SUM(TotalBovins_0_3moisAuPré)&gt;0,SUM(TotalBovins_0_3moisAuPré),SUM(TotalBovins_0_3mois))*35</f>
        <v>0</v>
      </c>
      <c r="BJ287" s="334">
        <f t="shared" si="17"/>
        <v>0</v>
      </c>
    </row>
    <row r="288" spans="1:85" ht="12.75" customHeight="1" x14ac:dyDescent="0.2">
      <c r="A288" s="276"/>
      <c r="B288" s="276"/>
      <c r="BB288" s="332" t="str">
        <f t="shared" si="18"/>
        <v>Chanvre</v>
      </c>
      <c r="BC288" s="332">
        <f t="array" ref="BC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36 et plus],MATCH(RationHivernaleBovinsAuPré&amp;$BB288,Règles_bovins[Ration]&amp;Règles_bovins[Aliment],0)),0),0)*IF(SUM(TotalBovinsAdultesAuPré)&gt;0,SUM(TotalBovinsAdultesAuPré),SUM(TotalBovinsAdultes))*35</f>
        <v>0</v>
      </c>
      <c r="BD288" s="332">
        <f t="array" ref="BD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24-36],MATCH(RationHivernaleBovinsAuPré&amp;$BB288,Règles_bovins[Ration]&amp;Règles_bovins[Aliment],0)),0),0)*IF(SUM(TotalBovins_24_36moisAuPré)&gt;0,SUM(TotalBovins_24_36moisAuPré),SUM(TotalBovins_24_36mois))*35</f>
        <v>0</v>
      </c>
      <c r="BE288" s="332">
        <f t="array" ref="BE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18-24],MATCH(RationHivernaleBovinsAuPré&amp;$BB288,Règles_bovins[Ration]&amp;Règles_bovins[Aliment],0)),0),0)*IF(SUM(TotalBovins_18_24moisAuPré)&gt;0,SUM(TotalBovins_18_24moisAuPré),SUM(TotalBovins_18_24mois))*35</f>
        <v>0</v>
      </c>
      <c r="BF288" s="332">
        <f t="array" ref="BF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12-18],MATCH(RationHivernaleBovinsAuPré&amp;$BB288,Règles_bovins[Ration]&amp;Règles_bovins[Aliment],0)),0),0)*IF(SUM(TotalBovins_12_18moisAuPré)&gt;0,SUM(TotalBovins_12_18moisAuPré),SUM(TotalBovins_12_18mois))*35</f>
        <v>0</v>
      </c>
      <c r="BG288" s="332">
        <f t="array" ref="BG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6-12],MATCH(RationHivernaleBovinsAuPré&amp;$BB288,Règles_bovins[Ration]&amp;Règles_bovins[Aliment],0)),0),0)*IF(SUM(TotalBovins_6_12moisAuPré)&gt;0,SUM(TotalBovins_6_12moisAuPré),SUM(TotalBovins_6_12mois))*35</f>
        <v>0</v>
      </c>
      <c r="BH288" s="332">
        <f t="array" ref="BH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3-6],MATCH(RationHivernaleBovinsAuPré&amp;$BB288,Règles_bovins[Ration]&amp;Règles_bovins[Aliment],0)),0),0)*IF(SUM(TotalBovins_3_6moisAuPré)&gt;0,SUM(TotalBovins_3_6moisAuPré),SUM(TotalBovins_3_6mois))*35</f>
        <v>0</v>
      </c>
      <c r="BI288" s="332">
        <f t="array" ref="BI288">IFERROR(IF(OR(AND(INDEX(Règles_bovins[Specificite],MATCH(RationHivernaleBovinsAuPré&amp;$BB288,Règles_bovins[Ration]&amp;Règles_bovins[Aliment],0))="s1",IF($BB288=Spécificité1Bovins,1)),
AND(INDEX(Règles_bovins[Specificite],MATCH(RationHivernaleBovinsAuPré&amp;$BB288,Règles_bovins[Ration]&amp;Règles_bovins[Aliment],0))="s2",IF($BB288=Spécificité2Bovins,1)),
INDEX(Règles_bovins[Specificite],MATCH(RationHivernaleBovinsAuPré&amp;$BB288,Règles_bovins[Ration]&amp;Règles_bovins[Aliment],0))="c"),
INDEX(Règles_bovins[Valeur 0-3],MATCH(RationHivernaleBovinsAuPré&amp;$BB288,Règles_bovins[Ration]&amp;Règles_bovins[Aliment],0)),0),0)*IF(SUM(TotalBovins_0_3moisAuPré)&gt;0,SUM(TotalBovins_0_3moisAuPré),SUM(TotalBovins_0_3mois))*35</f>
        <v>0</v>
      </c>
      <c r="BJ288" s="334">
        <f t="shared" si="17"/>
        <v>0</v>
      </c>
    </row>
    <row r="289" spans="1:62" ht="12.75" customHeight="1" x14ac:dyDescent="0.2">
      <c r="A289" s="276"/>
      <c r="B289" s="276"/>
      <c r="BB289" s="332" t="str">
        <f t="shared" si="18"/>
        <v>Canola</v>
      </c>
      <c r="BC289" s="332">
        <f t="array" ref="BC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36 et plus],MATCH(RationHivernaleBovinsAuPré&amp;$BB289,Règles_bovins[Ration]&amp;Règles_bovins[Aliment],0)),0),0)*IF(SUM(TotalBovinsAdultesAuPré)&gt;0,SUM(TotalBovinsAdultesAuPré),SUM(TotalBovinsAdultes))*35</f>
        <v>0</v>
      </c>
      <c r="BD289" s="332">
        <f t="array" ref="BD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24-36],MATCH(RationHivernaleBovinsAuPré&amp;$BB289,Règles_bovins[Ration]&amp;Règles_bovins[Aliment],0)),0),0)*IF(SUM(TotalBovins_24_36moisAuPré)&gt;0,SUM(TotalBovins_24_36moisAuPré),SUM(TotalBovins_24_36mois))*35</f>
        <v>0</v>
      </c>
      <c r="BE289" s="332">
        <f t="array" ref="BE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18-24],MATCH(RationHivernaleBovinsAuPré&amp;$BB289,Règles_bovins[Ration]&amp;Règles_bovins[Aliment],0)),0),0)*IF(SUM(TotalBovins_18_24moisAuPré)&gt;0,SUM(TotalBovins_18_24moisAuPré),SUM(TotalBovins_18_24mois))*35</f>
        <v>0</v>
      </c>
      <c r="BF289" s="332">
        <f t="array" ref="BF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12-18],MATCH(RationHivernaleBovinsAuPré&amp;$BB289,Règles_bovins[Ration]&amp;Règles_bovins[Aliment],0)),0),0)*IF(SUM(TotalBovins_12_18moisAuPré)&gt;0,SUM(TotalBovins_12_18moisAuPré),SUM(TotalBovins_12_18mois))*35</f>
        <v>0</v>
      </c>
      <c r="BG289" s="332">
        <f t="array" ref="BG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6-12],MATCH(RationHivernaleBovinsAuPré&amp;$BB289,Règles_bovins[Ration]&amp;Règles_bovins[Aliment],0)),0),0)*IF(SUM(TotalBovins_6_12moisAuPré)&gt;0,SUM(TotalBovins_6_12moisAuPré),SUM(TotalBovins_6_12mois))*35</f>
        <v>0</v>
      </c>
      <c r="BH289" s="332">
        <f t="array" ref="BH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3-6],MATCH(RationHivernaleBovinsAuPré&amp;$BB289,Règles_bovins[Ration]&amp;Règles_bovins[Aliment],0)),0),0)*IF(SUM(TotalBovins_3_6moisAuPré)&gt;0,SUM(TotalBovins_3_6moisAuPré),SUM(TotalBovins_3_6mois))*35</f>
        <v>0</v>
      </c>
      <c r="BI289" s="332">
        <f t="array" ref="BI289">IFERROR(IF(OR(AND(INDEX(Règles_bovins[Specificite],MATCH(RationHivernaleBovinsAuPré&amp;$BB289,Règles_bovins[Ration]&amp;Règles_bovins[Aliment],0))="s1",IF($BB289=Spécificité1Bovins,1)),
AND(INDEX(Règles_bovins[Specificite],MATCH(RationHivernaleBovinsAuPré&amp;$BB289,Règles_bovins[Ration]&amp;Règles_bovins[Aliment],0))="s2",IF($BB289=Spécificité2Bovins,1)),
INDEX(Règles_bovins[Specificite],MATCH(RationHivernaleBovinsAuPré&amp;$BB289,Règles_bovins[Ration]&amp;Règles_bovins[Aliment],0))="c"),
INDEX(Règles_bovins[Valeur 0-3],MATCH(RationHivernaleBovinsAuPré&amp;$BB289,Règles_bovins[Ration]&amp;Règles_bovins[Aliment],0)),0),0)*IF(SUM(TotalBovins_0_3moisAuPré)&gt;0,SUM(TotalBovins_0_3moisAuPré),SUM(TotalBovins_0_3mois))*35</f>
        <v>0</v>
      </c>
      <c r="BJ289" s="334">
        <f t="shared" si="17"/>
        <v>0</v>
      </c>
    </row>
    <row r="290" spans="1:62" ht="12.75" customHeight="1" x14ac:dyDescent="0.2">
      <c r="A290" s="276"/>
      <c r="B290" s="276"/>
      <c r="BB290" s="332" t="str">
        <f t="shared" si="18"/>
        <v>Colza</v>
      </c>
      <c r="BC290" s="332">
        <f t="array" ref="BC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36 et plus],MATCH(RationHivernaleBovinsAuPré&amp;$BB290,Règles_bovins[Ration]&amp;Règles_bovins[Aliment],0)),0),0)*IF(SUM(TotalBovinsAdultesAuPré)&gt;0,SUM(TotalBovinsAdultesAuPré),SUM(TotalBovinsAdultes))*35</f>
        <v>0</v>
      </c>
      <c r="BD290" s="332">
        <f t="array" ref="BD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24-36],MATCH(RationHivernaleBovinsAuPré&amp;$BB290,Règles_bovins[Ration]&amp;Règles_bovins[Aliment],0)),0),0)*IF(SUM(TotalBovins_24_36moisAuPré)&gt;0,SUM(TotalBovins_24_36moisAuPré),SUM(TotalBovins_24_36mois))*35</f>
        <v>0</v>
      </c>
      <c r="BE290" s="332">
        <f t="array" ref="BE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18-24],MATCH(RationHivernaleBovinsAuPré&amp;$BB290,Règles_bovins[Ration]&amp;Règles_bovins[Aliment],0)),0),0)*IF(SUM(TotalBovins_18_24moisAuPré)&gt;0,SUM(TotalBovins_18_24moisAuPré),SUM(TotalBovins_18_24mois))*35</f>
        <v>0</v>
      </c>
      <c r="BF290" s="332">
        <f t="array" ref="BF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12-18],MATCH(RationHivernaleBovinsAuPré&amp;$BB290,Règles_bovins[Ration]&amp;Règles_bovins[Aliment],0)),0),0)*IF(SUM(TotalBovins_12_18moisAuPré)&gt;0,SUM(TotalBovins_12_18moisAuPré),SUM(TotalBovins_12_18mois))*35</f>
        <v>0</v>
      </c>
      <c r="BG290" s="332">
        <f t="array" ref="BG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6-12],MATCH(RationHivernaleBovinsAuPré&amp;$BB290,Règles_bovins[Ration]&amp;Règles_bovins[Aliment],0)),0),0)*IF(SUM(TotalBovins_6_12moisAuPré)&gt;0,SUM(TotalBovins_6_12moisAuPré),SUM(TotalBovins_6_12mois))*35</f>
        <v>0</v>
      </c>
      <c r="BH290" s="332">
        <f t="array" ref="BH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3-6],MATCH(RationHivernaleBovinsAuPré&amp;$BB290,Règles_bovins[Ration]&amp;Règles_bovins[Aliment],0)),0),0)*IF(SUM(TotalBovins_3_6moisAuPré)&gt;0,SUM(TotalBovins_3_6moisAuPré),SUM(TotalBovins_3_6mois))*35</f>
        <v>0</v>
      </c>
      <c r="BI290" s="332">
        <f t="array" ref="BI290">IFERROR(IF(OR(AND(INDEX(Règles_bovins[Specificite],MATCH(RationHivernaleBovinsAuPré&amp;$BB290,Règles_bovins[Ration]&amp;Règles_bovins[Aliment],0))="s1",IF($BB290=Spécificité1Bovins,1)),
AND(INDEX(Règles_bovins[Specificite],MATCH(RationHivernaleBovinsAuPré&amp;$BB290,Règles_bovins[Ration]&amp;Règles_bovins[Aliment],0))="s2",IF($BB290=Spécificité2Bovins,1)),
INDEX(Règles_bovins[Specificite],MATCH(RationHivernaleBovinsAuPré&amp;$BB290,Règles_bovins[Ration]&amp;Règles_bovins[Aliment],0))="c"),
INDEX(Règles_bovins[Valeur 0-3],MATCH(RationHivernaleBovinsAuPré&amp;$BB290,Règles_bovins[Ration]&amp;Règles_bovins[Aliment],0)),0),0)*IF(SUM(TotalBovins_0_3moisAuPré)&gt;0,SUM(TotalBovins_0_3moisAuPré),SUM(TotalBovins_0_3mois))*35</f>
        <v>0</v>
      </c>
      <c r="BJ290" s="334">
        <f t="shared" si="17"/>
        <v>0</v>
      </c>
    </row>
    <row r="291" spans="1:62" ht="12.75" customHeight="1" x14ac:dyDescent="0.2">
      <c r="A291" s="276"/>
      <c r="B291" s="276"/>
      <c r="BB291" s="332" t="str">
        <f t="shared" si="18"/>
        <v>concentré jeunes bovins</v>
      </c>
      <c r="BC291" s="332">
        <f t="array" ref="BC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36 et plus],MATCH(RationHivernaleBovinsAuPré&amp;$BB291,Règles_bovins[Ration]&amp;Règles_bovins[Aliment],0)),0),0)*IF(SUM(TotalBovinsAdultesAuPré)&gt;0,SUM(TotalBovinsAdultesAuPré),SUM(TotalBovinsAdultes))*35</f>
        <v>0</v>
      </c>
      <c r="BD291" s="332">
        <f t="array" ref="BD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24-36],MATCH(RationHivernaleBovinsAuPré&amp;$BB291,Règles_bovins[Ration]&amp;Règles_bovins[Aliment],0)),0),0)*IF(SUM(TotalBovins_24_36moisAuPré)&gt;0,SUM(TotalBovins_24_36moisAuPré),SUM(TotalBovins_24_36mois))*35</f>
        <v>0</v>
      </c>
      <c r="BE291" s="332">
        <f t="array" ref="BE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18-24],MATCH(RationHivernaleBovinsAuPré&amp;$BB291,Règles_bovins[Ration]&amp;Règles_bovins[Aliment],0)),0),0)*IF(SUM(TotalBovins_18_24moisAuPré)&gt;0,SUM(TotalBovins_18_24moisAuPré),SUM(TotalBovins_18_24mois))*35</f>
        <v>0</v>
      </c>
      <c r="BF291" s="332">
        <f t="array" ref="BF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12-18],MATCH(RationHivernaleBovinsAuPré&amp;$BB291,Règles_bovins[Ration]&amp;Règles_bovins[Aliment],0)),0),0)*IF(SUM(TotalBovins_12_18moisAuPré)&gt;0,SUM(TotalBovins_12_18moisAuPré),SUM(TotalBovins_12_18mois))*35</f>
        <v>0</v>
      </c>
      <c r="BG291" s="332">
        <f t="array" ref="BG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6-12],MATCH(RationHivernaleBovinsAuPré&amp;$BB291,Règles_bovins[Ration]&amp;Règles_bovins[Aliment],0)),0),0)*IF(SUM(TotalBovins_6_12moisAuPré)&gt;0,SUM(TotalBovins_6_12moisAuPré),SUM(TotalBovins_6_12mois))*35</f>
        <v>0</v>
      </c>
      <c r="BH291" s="332">
        <f t="array" ref="BH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3-6],MATCH(RationHivernaleBovinsAuPré&amp;$BB291,Règles_bovins[Ration]&amp;Règles_bovins[Aliment],0)),0),0)*IF(SUM(TotalBovins_3_6moisAuPré)&gt;0,SUM(TotalBovins_3_6moisAuPré),SUM(TotalBovins_3_6mois))*35</f>
        <v>0</v>
      </c>
      <c r="BI291" s="332">
        <f t="array" ref="BI291">IFERROR(IF(OR(AND(INDEX(Règles_bovins[Specificite],MATCH(RationHivernaleBovinsAuPré&amp;$BB291,Règles_bovins[Ration]&amp;Règles_bovins[Aliment],0))="s1",IF($BB291=Spécificité1Bovins,1)),
AND(INDEX(Règles_bovins[Specificite],MATCH(RationHivernaleBovinsAuPré&amp;$BB291,Règles_bovins[Ration]&amp;Règles_bovins[Aliment],0))="s2",IF($BB291=Spécificité2Bovins,1)),
INDEX(Règles_bovins[Specificite],MATCH(RationHivernaleBovinsAuPré&amp;$BB291,Règles_bovins[Ration]&amp;Règles_bovins[Aliment],0))="c"),
INDEX(Règles_bovins[Valeur 0-3],MATCH(RationHivernaleBovinsAuPré&amp;$BB291,Règles_bovins[Ration]&amp;Règles_bovins[Aliment],0)),0),0)*IF(SUM(TotalBovins_0_3moisAuPré)&gt;0,SUM(TotalBovins_0_3moisAuPré),SUM(TotalBovins_0_3mois))*35</f>
        <v>0</v>
      </c>
      <c r="BJ291" s="334">
        <f t="shared" si="17"/>
        <v>0</v>
      </c>
    </row>
    <row r="292" spans="1:62" ht="12.75" customHeight="1" x14ac:dyDescent="0.2">
      <c r="A292" s="276"/>
      <c r="B292" s="276"/>
      <c r="BB292" s="332" t="str">
        <f t="shared" si="18"/>
        <v>concentré jeunes lapins</v>
      </c>
      <c r="BC292" s="332">
        <f t="array" ref="BC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36 et plus],MATCH(RationHivernaleBovinsAuPré&amp;$BB292,Règles_bovins[Ration]&amp;Règles_bovins[Aliment],0)),0),0)*IF(SUM(TotalBovinsAdultesAuPré)&gt;0,SUM(TotalBovinsAdultesAuPré),SUM(TotalBovinsAdultes))*35</f>
        <v>0</v>
      </c>
      <c r="BD292" s="332">
        <f t="array" ref="BD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24-36],MATCH(RationHivernaleBovinsAuPré&amp;$BB292,Règles_bovins[Ration]&amp;Règles_bovins[Aliment],0)),0),0)*IF(SUM(TotalBovins_24_36moisAuPré)&gt;0,SUM(TotalBovins_24_36moisAuPré),SUM(TotalBovins_24_36mois))*35</f>
        <v>0</v>
      </c>
      <c r="BE292" s="332">
        <f t="array" ref="BE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18-24],MATCH(RationHivernaleBovinsAuPré&amp;$BB292,Règles_bovins[Ration]&amp;Règles_bovins[Aliment],0)),0),0)*IF(SUM(TotalBovins_18_24moisAuPré)&gt;0,SUM(TotalBovins_18_24moisAuPré),SUM(TotalBovins_18_24mois))*35</f>
        <v>0</v>
      </c>
      <c r="BF292" s="332">
        <f t="array" ref="BF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12-18],MATCH(RationHivernaleBovinsAuPré&amp;$BB292,Règles_bovins[Ration]&amp;Règles_bovins[Aliment],0)),0),0)*IF(SUM(TotalBovins_12_18moisAuPré)&gt;0,SUM(TotalBovins_12_18moisAuPré),SUM(TotalBovins_12_18mois))*35</f>
        <v>0</v>
      </c>
      <c r="BG292" s="332">
        <f t="array" ref="BG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6-12],MATCH(RationHivernaleBovinsAuPré&amp;$BB292,Règles_bovins[Ration]&amp;Règles_bovins[Aliment],0)),0),0)*IF(SUM(TotalBovins_6_12moisAuPré)&gt;0,SUM(TotalBovins_6_12moisAuPré),SUM(TotalBovins_6_12mois))*35</f>
        <v>0</v>
      </c>
      <c r="BH292" s="332">
        <f t="array" ref="BH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3-6],MATCH(RationHivernaleBovinsAuPré&amp;$BB292,Règles_bovins[Ration]&amp;Règles_bovins[Aliment],0)),0),0)*IF(SUM(TotalBovins_3_6moisAuPré)&gt;0,SUM(TotalBovins_3_6moisAuPré),SUM(TotalBovins_3_6mois))*35</f>
        <v>0</v>
      </c>
      <c r="BI292" s="332">
        <f t="array" ref="BI292">IFERROR(IF(OR(AND(INDEX(Règles_bovins[Specificite],MATCH(RationHivernaleBovinsAuPré&amp;$BB292,Règles_bovins[Ration]&amp;Règles_bovins[Aliment],0))="s1",IF($BB292=Spécificité1Bovins,1)),
AND(INDEX(Règles_bovins[Specificite],MATCH(RationHivernaleBovinsAuPré&amp;$BB292,Règles_bovins[Ration]&amp;Règles_bovins[Aliment],0))="s2",IF($BB292=Spécificité2Bovins,1)),
INDEX(Règles_bovins[Specificite],MATCH(RationHivernaleBovinsAuPré&amp;$BB292,Règles_bovins[Ration]&amp;Règles_bovins[Aliment],0))="c"),
INDEX(Règles_bovins[Valeur 0-3],MATCH(RationHivernaleBovinsAuPré&amp;$BB292,Règles_bovins[Ration]&amp;Règles_bovins[Aliment],0)),0),0)*IF(SUM(TotalBovins_0_3moisAuPré)&gt;0,SUM(TotalBovins_0_3moisAuPré),SUM(TotalBovins_0_3mois))*35</f>
        <v>0</v>
      </c>
      <c r="BJ292" s="334">
        <f t="shared" si="17"/>
        <v>0</v>
      </c>
    </row>
    <row r="293" spans="1:62" ht="12.75" customHeight="1" x14ac:dyDescent="0.2">
      <c r="A293" s="276"/>
      <c r="B293" s="276"/>
      <c r="BB293" s="332" t="str">
        <f t="shared" si="18"/>
        <v>concentré jeunes porcins</v>
      </c>
      <c r="BC293" s="332">
        <f t="array" ref="BC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36 et plus],MATCH(RationHivernaleBovinsAuPré&amp;$BB293,Règles_bovins[Ration]&amp;Règles_bovins[Aliment],0)),0),0)*IF(SUM(TotalBovinsAdultesAuPré)&gt;0,SUM(TotalBovinsAdultesAuPré),SUM(TotalBovinsAdultes))*35</f>
        <v>0</v>
      </c>
      <c r="BD293" s="332">
        <f t="array" ref="BD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24-36],MATCH(RationHivernaleBovinsAuPré&amp;$BB293,Règles_bovins[Ration]&amp;Règles_bovins[Aliment],0)),0),0)*IF(SUM(TotalBovins_24_36moisAuPré)&gt;0,SUM(TotalBovins_24_36moisAuPré),SUM(TotalBovins_24_36mois))*35</f>
        <v>0</v>
      </c>
      <c r="BE293" s="332">
        <f t="array" ref="BE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18-24],MATCH(RationHivernaleBovinsAuPré&amp;$BB293,Règles_bovins[Ration]&amp;Règles_bovins[Aliment],0)),0),0)*IF(SUM(TotalBovins_18_24moisAuPré)&gt;0,SUM(TotalBovins_18_24moisAuPré),SUM(TotalBovins_18_24mois))*35</f>
        <v>0</v>
      </c>
      <c r="BF293" s="332">
        <f t="array" ref="BF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12-18],MATCH(RationHivernaleBovinsAuPré&amp;$BB293,Règles_bovins[Ration]&amp;Règles_bovins[Aliment],0)),0),0)*IF(SUM(TotalBovins_12_18moisAuPré)&gt;0,SUM(TotalBovins_12_18moisAuPré),SUM(TotalBovins_12_18mois))*35</f>
        <v>0</v>
      </c>
      <c r="BG293" s="332">
        <f t="array" ref="BG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6-12],MATCH(RationHivernaleBovinsAuPré&amp;$BB293,Règles_bovins[Ration]&amp;Règles_bovins[Aliment],0)),0),0)*IF(SUM(TotalBovins_6_12moisAuPré)&gt;0,SUM(TotalBovins_6_12moisAuPré),SUM(TotalBovins_6_12mois))*35</f>
        <v>0</v>
      </c>
      <c r="BH293" s="332">
        <f t="array" ref="BH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3-6],MATCH(RationHivernaleBovinsAuPré&amp;$BB293,Règles_bovins[Ration]&amp;Règles_bovins[Aliment],0)),0),0)*IF(SUM(TotalBovins_3_6moisAuPré)&gt;0,SUM(TotalBovins_3_6moisAuPré),SUM(TotalBovins_3_6mois))*35</f>
        <v>0</v>
      </c>
      <c r="BI293" s="332">
        <f t="array" ref="BI293">IFERROR(IF(OR(AND(INDEX(Règles_bovins[Specificite],MATCH(RationHivernaleBovinsAuPré&amp;$BB293,Règles_bovins[Ration]&amp;Règles_bovins[Aliment],0))="s1",IF($BB293=Spécificité1Bovins,1)),
AND(INDEX(Règles_bovins[Specificite],MATCH(RationHivernaleBovinsAuPré&amp;$BB293,Règles_bovins[Ration]&amp;Règles_bovins[Aliment],0))="s2",IF($BB293=Spécificité2Bovins,1)),
INDEX(Règles_bovins[Specificite],MATCH(RationHivernaleBovinsAuPré&amp;$BB293,Règles_bovins[Ration]&amp;Règles_bovins[Aliment],0))="c"),
INDEX(Règles_bovins[Valeur 0-3],MATCH(RationHivernaleBovinsAuPré&amp;$BB293,Règles_bovins[Ration]&amp;Règles_bovins[Aliment],0)),0),0)*IF(SUM(TotalBovins_0_3moisAuPré)&gt;0,SUM(TotalBovins_0_3moisAuPré),SUM(TotalBovins_0_3mois))*35</f>
        <v>0</v>
      </c>
      <c r="BJ293" s="334">
        <f t="shared" si="17"/>
        <v>0</v>
      </c>
    </row>
    <row r="294" spans="1:62" ht="12.75" customHeight="1" x14ac:dyDescent="0.2">
      <c r="A294" s="276"/>
      <c r="B294" s="276"/>
      <c r="BB294" s="332" t="str">
        <f t="shared" si="18"/>
        <v>Ensilage d'herbe</v>
      </c>
      <c r="BC294" s="332">
        <f t="array" ref="BC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36 et plus],MATCH(RationHivernaleBovinsAuPré&amp;$BB294,Règles_bovins[Ration]&amp;Règles_bovins[Aliment],0)),0),0)*IF(SUM(TotalBovinsAdultesAuPré)&gt;0,SUM(TotalBovinsAdultesAuPré),SUM(TotalBovinsAdultes))*35</f>
        <v>0</v>
      </c>
      <c r="BD294" s="332">
        <f t="array" ref="BD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24-36],MATCH(RationHivernaleBovinsAuPré&amp;$BB294,Règles_bovins[Ration]&amp;Règles_bovins[Aliment],0)),0),0)*IF(SUM(TotalBovins_24_36moisAuPré)&gt;0,SUM(TotalBovins_24_36moisAuPré),SUM(TotalBovins_24_36mois))*35</f>
        <v>0</v>
      </c>
      <c r="BE294" s="332">
        <f t="array" ref="BE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18-24],MATCH(RationHivernaleBovinsAuPré&amp;$BB294,Règles_bovins[Ration]&amp;Règles_bovins[Aliment],0)),0),0)*IF(SUM(TotalBovins_18_24moisAuPré)&gt;0,SUM(TotalBovins_18_24moisAuPré),SUM(TotalBovins_18_24mois))*35</f>
        <v>0</v>
      </c>
      <c r="BF294" s="332">
        <f t="array" ref="BF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12-18],MATCH(RationHivernaleBovinsAuPré&amp;$BB294,Règles_bovins[Ration]&amp;Règles_bovins[Aliment],0)),0),0)*IF(SUM(TotalBovins_12_18moisAuPré)&gt;0,SUM(TotalBovins_12_18moisAuPré),SUM(TotalBovins_12_18mois))*35</f>
        <v>0</v>
      </c>
      <c r="BG294" s="332">
        <f t="array" ref="BG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6-12],MATCH(RationHivernaleBovinsAuPré&amp;$BB294,Règles_bovins[Ration]&amp;Règles_bovins[Aliment],0)),0),0)*IF(SUM(TotalBovins_6_12moisAuPré)&gt;0,SUM(TotalBovins_6_12moisAuPré),SUM(TotalBovins_6_12mois))*35</f>
        <v>0</v>
      </c>
      <c r="BH294" s="332">
        <f t="array" ref="BH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3-6],MATCH(RationHivernaleBovinsAuPré&amp;$BB294,Règles_bovins[Ration]&amp;Règles_bovins[Aliment],0)),0),0)*IF(SUM(TotalBovins_3_6moisAuPré)&gt;0,SUM(TotalBovins_3_6moisAuPré),SUM(TotalBovins_3_6mois))*35</f>
        <v>0</v>
      </c>
      <c r="BI294" s="332">
        <f t="array" ref="BI294">IFERROR(IF(OR(AND(INDEX(Règles_bovins[Specificite],MATCH(RationHivernaleBovinsAuPré&amp;$BB294,Règles_bovins[Ration]&amp;Règles_bovins[Aliment],0))="s1",IF($BB294=Spécificité1Bovins,1)),
AND(INDEX(Règles_bovins[Specificite],MATCH(RationHivernaleBovinsAuPré&amp;$BB294,Règles_bovins[Ration]&amp;Règles_bovins[Aliment],0))="s2",IF($BB294=Spécificité2Bovins,1)),
INDEX(Règles_bovins[Specificite],MATCH(RationHivernaleBovinsAuPré&amp;$BB294,Règles_bovins[Ration]&amp;Règles_bovins[Aliment],0))="c"),
INDEX(Règles_bovins[Valeur 0-3],MATCH(RationHivernaleBovinsAuPré&amp;$BB294,Règles_bovins[Ration]&amp;Règles_bovins[Aliment],0)),0),0)*IF(SUM(TotalBovins_0_3moisAuPré)&gt;0,SUM(TotalBovins_0_3moisAuPré),SUM(TotalBovins_0_3mois))*35</f>
        <v>0</v>
      </c>
      <c r="BJ294" s="334">
        <f t="shared" si="17"/>
        <v>0</v>
      </c>
    </row>
    <row r="295" spans="1:62" ht="12.75" customHeight="1" x14ac:dyDescent="0.2">
      <c r="A295" s="276"/>
      <c r="B295" s="276"/>
      <c r="BB295" s="332" t="str">
        <f t="shared" si="18"/>
        <v>Eau</v>
      </c>
      <c r="BC295" s="332">
        <f t="array" ref="BC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36 et plus],MATCH(RationHivernaleBovinsAuPré&amp;$BB295,Règles_bovins[Ration]&amp;Règles_bovins[Aliment],0)),0),0)*IF(SUM(TotalBovinsAdultesAuPré)&gt;0,SUM(TotalBovinsAdultesAuPré),SUM(TotalBovinsAdultes))*84</f>
        <v>0</v>
      </c>
      <c r="BD295" s="332">
        <f t="array" ref="BD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24-36],MATCH(RationHivernaleBovinsAuPré&amp;$BB295,Règles_bovins[Ration]&amp;Règles_bovins[Aliment],0)),0),0)*IF(SUM(TotalBovins_24_36moisAuPré)&gt;0,SUM(TotalBovins_24_36moisAuPré),SUM(TotalBovins_24_36mois))*84</f>
        <v>0</v>
      </c>
      <c r="BE295" s="332">
        <f t="array" ref="BE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18-24],MATCH(RationHivernaleBovinsAuPré&amp;$BB295,Règles_bovins[Ration]&amp;Règles_bovins[Aliment],0)),0),0)*IF(SUM(TotalBovins_18_24moisAuPré)&gt;0,SUM(TotalBovins_18_24moisAuPré),SUM(TotalBovins_18_24mois))*84</f>
        <v>0</v>
      </c>
      <c r="BF295" s="332">
        <f t="array" ref="BF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12-18],MATCH(RationHivernaleBovinsAuPré&amp;$BB295,Règles_bovins[Ration]&amp;Règles_bovins[Aliment],0)),0),0)*IF(SUM(TotalBovins_12_18moisAuPré)&gt;0,SUM(TotalBovins_12_18moisAuPré),SUM(TotalBovins_12_18mois))*84</f>
        <v>0</v>
      </c>
      <c r="BG295" s="332">
        <f t="array" ref="BG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6-12],MATCH(RationHivernaleBovinsAuPré&amp;$BB295,Règles_bovins[Ration]&amp;Règles_bovins[Aliment],0)),0),0)*IF(SUM(TotalBovins_6_12moisAuPré)&gt;0,SUM(TotalBovins_6_12moisAuPré),SUM(TotalBovins_6_12mois))*84</f>
        <v>0</v>
      </c>
      <c r="BH295" s="332">
        <f t="array" ref="BH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3-6],MATCH(RationHivernaleBovinsAuPré&amp;$BB295,Règles_bovins[Ration]&amp;Règles_bovins[Aliment],0)),0),0)*IF(SUM(TotalBovins_3_6moisAuPré)&gt;0,SUM(TotalBovins_3_6moisAuPré),SUM(TotalBovins_3_6mois))*84</f>
        <v>0</v>
      </c>
      <c r="BI295" s="332">
        <f t="array" ref="BI295">IFERROR(IF(OR(AND(INDEX(Règles_bovins[Specificite],MATCH(RationHivernaleBovinsAuPré&amp;$BB295,Règles_bovins[Ration]&amp;Règles_bovins[Aliment],0))="s1",IF($BB295=Spécificité1Bovins,1)),
AND(INDEX(Règles_bovins[Specificite],MATCH(RationHivernaleBovinsAuPré&amp;$BB295,Règles_bovins[Ration]&amp;Règles_bovins[Aliment],0))="s2",IF($BB295=Spécificité2Bovins,1)),
INDEX(Règles_bovins[Specificite],MATCH(RationHivernaleBovinsAuPré&amp;$BB295,Règles_bovins[Ration]&amp;Règles_bovins[Aliment],0))="c"),
INDEX(Règles_bovins[Valeur 0-3],MATCH(RationHivernaleBovinsAuPré&amp;$BB295,Règles_bovins[Ration]&amp;Règles_bovins[Aliment],0)),0),0)*IF(SUM(TotalBovins_0_3moisAuPré)&gt;0,SUM(TotalBovins_0_3moisAuPré),SUM(TotalBovins_0_3mois))*84</f>
        <v>0</v>
      </c>
      <c r="BJ295" s="334">
        <f t="shared" si="17"/>
        <v>0</v>
      </c>
    </row>
    <row r="296" spans="1:62" ht="12.75" customHeight="1" x14ac:dyDescent="0.2">
      <c r="A296" s="276"/>
      <c r="B296" s="276"/>
      <c r="BB296" s="332" t="str">
        <f t="shared" si="18"/>
        <v>Epinard</v>
      </c>
      <c r="BC296" s="332">
        <f t="array" ref="BC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36 et plus],MATCH(RationHivernaleBovinsAuPré&amp;$BB296,Règles_bovins[Ration]&amp;Règles_bovins[Aliment],0)),0),0)*IF(SUM(TotalBovinsAdultesAuPré)&gt;0,SUM(TotalBovinsAdultesAuPré),SUM(TotalBovinsAdultes))*35</f>
        <v>0</v>
      </c>
      <c r="BD296" s="332">
        <f t="array" ref="BD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24-36],MATCH(RationHivernaleBovinsAuPré&amp;$BB296,Règles_bovins[Ration]&amp;Règles_bovins[Aliment],0)),0),0)*IF(SUM(TotalBovins_24_36moisAuPré)&gt;0,SUM(TotalBovins_24_36moisAuPré),SUM(TotalBovins_24_36mois))*35</f>
        <v>0</v>
      </c>
      <c r="BE296" s="332">
        <f t="array" ref="BE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18-24],MATCH(RationHivernaleBovinsAuPré&amp;$BB296,Règles_bovins[Ration]&amp;Règles_bovins[Aliment],0)),0),0)*IF(SUM(TotalBovins_18_24moisAuPré)&gt;0,SUM(TotalBovins_18_24moisAuPré),SUM(TotalBovins_18_24mois))*35</f>
        <v>0</v>
      </c>
      <c r="BF296" s="332">
        <f t="array" ref="BF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12-18],MATCH(RationHivernaleBovinsAuPré&amp;$BB296,Règles_bovins[Ration]&amp;Règles_bovins[Aliment],0)),0),0)*IF(SUM(TotalBovins_12_18moisAuPré)&gt;0,SUM(TotalBovins_12_18moisAuPré),SUM(TotalBovins_12_18mois))*35</f>
        <v>0</v>
      </c>
      <c r="BG296" s="332">
        <f t="array" ref="BG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6-12],MATCH(RationHivernaleBovinsAuPré&amp;$BB296,Règles_bovins[Ration]&amp;Règles_bovins[Aliment],0)),0),0)*IF(SUM(TotalBovins_6_12moisAuPré)&gt;0,SUM(TotalBovins_6_12moisAuPré),SUM(TotalBovins_6_12mois))*35</f>
        <v>0</v>
      </c>
      <c r="BH296" s="332">
        <f t="array" ref="BH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3-6],MATCH(RationHivernaleBovinsAuPré&amp;$BB296,Règles_bovins[Ration]&amp;Règles_bovins[Aliment],0)),0),0)*IF(SUM(TotalBovins_3_6moisAuPré)&gt;0,SUM(TotalBovins_3_6moisAuPré),SUM(TotalBovins_3_6mois))*35</f>
        <v>0</v>
      </c>
      <c r="BI296" s="332">
        <f t="array" ref="BI296">IFERROR(IF(OR(AND(INDEX(Règles_bovins[Specificite],MATCH(RationHivernaleBovinsAuPré&amp;$BB296,Règles_bovins[Ration]&amp;Règles_bovins[Aliment],0))="s1",IF($BB296=Spécificité1Bovins,1)),
AND(INDEX(Règles_bovins[Specificite],MATCH(RationHivernaleBovinsAuPré&amp;$BB296,Règles_bovins[Ration]&amp;Règles_bovins[Aliment],0))="s2",IF($BB296=Spécificité2Bovins,1)),
INDEX(Règles_bovins[Specificite],MATCH(RationHivernaleBovinsAuPré&amp;$BB296,Règles_bovins[Ration]&amp;Règles_bovins[Aliment],0))="c"),
INDEX(Règles_bovins[Valeur 0-3],MATCH(RationHivernaleBovinsAuPré&amp;$BB296,Règles_bovins[Ration]&amp;Règles_bovins[Aliment],0)),0),0)*IF(SUM(TotalBovins_0_3moisAuPré)&gt;0,SUM(TotalBovins_0_3moisAuPré),SUM(TotalBovins_0_3mois))*35</f>
        <v>0</v>
      </c>
      <c r="BJ296" s="334">
        <f t="shared" si="17"/>
        <v>0</v>
      </c>
    </row>
    <row r="297" spans="1:62" ht="12.75" customHeight="1" x14ac:dyDescent="0.2">
      <c r="A297" s="276"/>
      <c r="B297" s="276"/>
      <c r="BB297" s="332" t="str">
        <f t="shared" si="18"/>
        <v>Féverole</v>
      </c>
      <c r="BC297" s="332">
        <f t="array" ref="BC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36 et plus],MATCH(RationHivernaleBovinsAuPré&amp;$BB297,Règles_bovins[Ration]&amp;Règles_bovins[Aliment],0)),0),0)*IF(SUM(TotalBovinsAdultesAuPré)&gt;0,SUM(TotalBovinsAdultesAuPré),SUM(TotalBovinsAdultes))*35</f>
        <v>0</v>
      </c>
      <c r="BD297" s="332">
        <f t="array" ref="BD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24-36],MATCH(RationHivernaleBovinsAuPré&amp;$BB297,Règles_bovins[Ration]&amp;Règles_bovins[Aliment],0)),0),0)*IF(SUM(TotalBovins_24_36moisAuPré)&gt;0,SUM(TotalBovins_24_36moisAuPré),SUM(TotalBovins_24_36mois))*35</f>
        <v>0</v>
      </c>
      <c r="BE297" s="332">
        <f t="array" ref="BE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18-24],MATCH(RationHivernaleBovinsAuPré&amp;$BB297,Règles_bovins[Ration]&amp;Règles_bovins[Aliment],0)),0),0)*IF(SUM(TotalBovins_18_24moisAuPré)&gt;0,SUM(TotalBovins_18_24moisAuPré),SUM(TotalBovins_18_24mois))*35</f>
        <v>0</v>
      </c>
      <c r="BF297" s="332">
        <f t="array" ref="BF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12-18],MATCH(RationHivernaleBovinsAuPré&amp;$BB297,Règles_bovins[Ration]&amp;Règles_bovins[Aliment],0)),0),0)*IF(SUM(TotalBovins_12_18moisAuPré)&gt;0,SUM(TotalBovins_12_18moisAuPré),SUM(TotalBovins_12_18mois))*35</f>
        <v>0</v>
      </c>
      <c r="BG297" s="332">
        <f t="array" ref="BG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6-12],MATCH(RationHivernaleBovinsAuPré&amp;$BB297,Règles_bovins[Ration]&amp;Règles_bovins[Aliment],0)),0),0)*IF(SUM(TotalBovins_6_12moisAuPré)&gt;0,SUM(TotalBovins_6_12moisAuPré),SUM(TotalBovins_6_12mois))*35</f>
        <v>0</v>
      </c>
      <c r="BH297" s="332">
        <f t="array" ref="BH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3-6],MATCH(RationHivernaleBovinsAuPré&amp;$BB297,Règles_bovins[Ration]&amp;Règles_bovins[Aliment],0)),0),0)*IF(SUM(TotalBovins_3_6moisAuPré)&gt;0,SUM(TotalBovins_3_6moisAuPré),SUM(TotalBovins_3_6mois))*35</f>
        <v>0</v>
      </c>
      <c r="BI297" s="332">
        <f t="array" ref="BI297">IFERROR(IF(OR(AND(INDEX(Règles_bovins[Specificite],MATCH(RationHivernaleBovinsAuPré&amp;$BB297,Règles_bovins[Ration]&amp;Règles_bovins[Aliment],0))="s1",IF($BB297=Spécificité1Bovins,1)),
AND(INDEX(Règles_bovins[Specificite],MATCH(RationHivernaleBovinsAuPré&amp;$BB297,Règles_bovins[Ration]&amp;Règles_bovins[Aliment],0))="s2",IF($BB297=Spécificité2Bovins,1)),
INDEX(Règles_bovins[Specificite],MATCH(RationHivernaleBovinsAuPré&amp;$BB297,Règles_bovins[Ration]&amp;Règles_bovins[Aliment],0))="c"),
INDEX(Règles_bovins[Valeur 0-3],MATCH(RationHivernaleBovinsAuPré&amp;$BB297,Règles_bovins[Ration]&amp;Règles_bovins[Aliment],0)),0),0)*IF(SUM(TotalBovins_0_3moisAuPré)&gt;0,SUM(TotalBovins_0_3moisAuPré),SUM(TotalBovins_0_3mois))*35</f>
        <v>0</v>
      </c>
      <c r="BJ297" s="334">
        <f t="shared" si="17"/>
        <v>0</v>
      </c>
    </row>
    <row r="298" spans="1:62" ht="12.75" customHeight="1" x14ac:dyDescent="0.2">
      <c r="A298" s="276"/>
      <c r="B298" s="276"/>
      <c r="BB298" s="332" t="str">
        <f t="shared" si="18"/>
        <v>Foin</v>
      </c>
      <c r="BC298" s="332">
        <f t="array" ref="BC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36 et plus],MATCH(RationHivernaleBovinsAuPré&amp;$BB298,Règles_bovins[Ration]&amp;Règles_bovins[Aliment],0)),0),0)*IF(SUM(TotalBovinsAdultesAuPré)&gt;0,SUM(TotalBovinsAdultesAuPré),SUM(TotalBovinsAdultes))*35</f>
        <v>0</v>
      </c>
      <c r="BD298" s="332">
        <f t="array" ref="BD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24-36],MATCH(RationHivernaleBovinsAuPré&amp;$BB298,Règles_bovins[Ration]&amp;Règles_bovins[Aliment],0)),0),0)*IF(SUM(TotalBovins_24_36moisAuPré)&gt;0,SUM(TotalBovins_24_36moisAuPré),SUM(TotalBovins_24_36mois))*35</f>
        <v>0</v>
      </c>
      <c r="BE298" s="332">
        <f t="array" ref="BE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18-24],MATCH(RationHivernaleBovinsAuPré&amp;$BB298,Règles_bovins[Ration]&amp;Règles_bovins[Aliment],0)),0),0)*IF(SUM(TotalBovins_18_24moisAuPré)&gt;0,SUM(TotalBovins_18_24moisAuPré),SUM(TotalBovins_18_24mois))*35</f>
        <v>0</v>
      </c>
      <c r="BF298" s="332">
        <f t="array" ref="BF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12-18],MATCH(RationHivernaleBovinsAuPré&amp;$BB298,Règles_bovins[Ration]&amp;Règles_bovins[Aliment],0)),0),0)*IF(SUM(TotalBovins_12_18moisAuPré)&gt;0,SUM(TotalBovins_12_18moisAuPré),SUM(TotalBovins_12_18mois))*35</f>
        <v>0</v>
      </c>
      <c r="BG298" s="332">
        <f t="array" ref="BG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6-12],MATCH(RationHivernaleBovinsAuPré&amp;$BB298,Règles_bovins[Ration]&amp;Règles_bovins[Aliment],0)),0),0)*IF(SUM(TotalBovins_6_12moisAuPré)&gt;0,SUM(TotalBovins_6_12moisAuPré),SUM(TotalBovins_6_12mois))*35</f>
        <v>0</v>
      </c>
      <c r="BH298" s="332">
        <f t="array" ref="BH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3-6],MATCH(RationHivernaleBovinsAuPré&amp;$BB298,Règles_bovins[Ration]&amp;Règles_bovins[Aliment],0)),0),0)*IF(SUM(TotalBovins_3_6moisAuPré)&gt;0,SUM(TotalBovins_3_6moisAuPré),SUM(TotalBovins_3_6mois))*35</f>
        <v>0</v>
      </c>
      <c r="BI298" s="332">
        <f t="array" ref="BI298">IFERROR(IF(OR(AND(INDEX(Règles_bovins[Specificite],MATCH(RationHivernaleBovinsAuPré&amp;$BB298,Règles_bovins[Ration]&amp;Règles_bovins[Aliment],0))="s1",IF($BB298=Spécificité1Bovins,1)),
AND(INDEX(Règles_bovins[Specificite],MATCH(RationHivernaleBovinsAuPré&amp;$BB298,Règles_bovins[Ration]&amp;Règles_bovins[Aliment],0))="s2",IF($BB298=Spécificité2Bovins,1)),
INDEX(Règles_bovins[Specificite],MATCH(RationHivernaleBovinsAuPré&amp;$BB298,Règles_bovins[Ration]&amp;Règles_bovins[Aliment],0))="c"),
INDEX(Règles_bovins[Valeur 0-3],MATCH(RationHivernaleBovinsAuPré&amp;$BB298,Règles_bovins[Ration]&amp;Règles_bovins[Aliment],0)),0),0)*IF(SUM(TotalBovins_0_3moisAuPré)&gt;0,SUM(TotalBovins_0_3moisAuPré),SUM(TotalBovins_0_3mois))*35</f>
        <v>0</v>
      </c>
      <c r="BJ298" s="334">
        <f t="shared" si="17"/>
        <v>0</v>
      </c>
    </row>
    <row r="299" spans="1:62" ht="12.75" customHeight="1" x14ac:dyDescent="0.2">
      <c r="A299" s="276"/>
      <c r="B299" s="276"/>
      <c r="BB299" s="332" t="str">
        <f t="shared" si="18"/>
        <v>Haricot vert</v>
      </c>
      <c r="BC299" s="332">
        <f t="array" ref="BC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36 et plus],MATCH(RationHivernaleBovinsAuPré&amp;$BB299,Règles_bovins[Ration]&amp;Règles_bovins[Aliment],0)),0),0)*IF(SUM(TotalBovinsAdultesAuPré)&gt;0,SUM(TotalBovinsAdultesAuPré),SUM(TotalBovinsAdultes))*35</f>
        <v>0</v>
      </c>
      <c r="BD299" s="332">
        <f t="array" ref="BD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24-36],MATCH(RationHivernaleBovinsAuPré&amp;$BB299,Règles_bovins[Ration]&amp;Règles_bovins[Aliment],0)),0),0)*IF(SUM(TotalBovins_24_36moisAuPré)&gt;0,SUM(TotalBovins_24_36moisAuPré),SUM(TotalBovins_24_36mois))*35</f>
        <v>0</v>
      </c>
      <c r="BE299" s="332">
        <f t="array" ref="BE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18-24],MATCH(RationHivernaleBovinsAuPré&amp;$BB299,Règles_bovins[Ration]&amp;Règles_bovins[Aliment],0)),0),0)*IF(SUM(TotalBovins_18_24moisAuPré)&gt;0,SUM(TotalBovins_18_24moisAuPré),SUM(TotalBovins_18_24mois))*35</f>
        <v>0</v>
      </c>
      <c r="BF299" s="332">
        <f t="array" ref="BF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12-18],MATCH(RationHivernaleBovinsAuPré&amp;$BB299,Règles_bovins[Ration]&amp;Règles_bovins[Aliment],0)),0),0)*IF(SUM(TotalBovins_12_18moisAuPré)&gt;0,SUM(TotalBovins_12_18moisAuPré),SUM(TotalBovins_12_18mois))*35</f>
        <v>0</v>
      </c>
      <c r="BG299" s="332">
        <f t="array" ref="BG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6-12],MATCH(RationHivernaleBovinsAuPré&amp;$BB299,Règles_bovins[Ration]&amp;Règles_bovins[Aliment],0)),0),0)*IF(SUM(TotalBovins_6_12moisAuPré)&gt;0,SUM(TotalBovins_6_12moisAuPré),SUM(TotalBovins_6_12mois))*35</f>
        <v>0</v>
      </c>
      <c r="BH299" s="332">
        <f t="array" ref="BH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3-6],MATCH(RationHivernaleBovinsAuPré&amp;$BB299,Règles_bovins[Ration]&amp;Règles_bovins[Aliment],0)),0),0)*IF(SUM(TotalBovins_3_6moisAuPré)&gt;0,SUM(TotalBovins_3_6moisAuPré),SUM(TotalBovins_3_6mois))*35</f>
        <v>0</v>
      </c>
      <c r="BI299" s="332">
        <f t="array" ref="BI299">IFERROR(IF(OR(AND(INDEX(Règles_bovins[Specificite],MATCH(RationHivernaleBovinsAuPré&amp;$BB299,Règles_bovins[Ration]&amp;Règles_bovins[Aliment],0))="s1",IF($BB299=Spécificité1Bovins,1)),
AND(INDEX(Règles_bovins[Specificite],MATCH(RationHivernaleBovinsAuPré&amp;$BB299,Règles_bovins[Ration]&amp;Règles_bovins[Aliment],0))="s2",IF($BB299=Spécificité2Bovins,1)),
INDEX(Règles_bovins[Specificite],MATCH(RationHivernaleBovinsAuPré&amp;$BB299,Règles_bovins[Ration]&amp;Règles_bovins[Aliment],0))="c"),
INDEX(Règles_bovins[Valeur 0-3],MATCH(RationHivernaleBovinsAuPré&amp;$BB299,Règles_bovins[Ration]&amp;Règles_bovins[Aliment],0)),0),0)*IF(SUM(TotalBovins_0_3moisAuPré)&gt;0,SUM(TotalBovins_0_3moisAuPré),SUM(TotalBovins_0_3mois))*35</f>
        <v>0</v>
      </c>
      <c r="BJ299" s="334">
        <f t="shared" si="17"/>
        <v>0</v>
      </c>
    </row>
    <row r="300" spans="1:62" ht="12.75" customHeight="1" x14ac:dyDescent="0.2">
      <c r="A300" s="276"/>
      <c r="B300" s="276"/>
      <c r="BB300" s="332" t="str">
        <f t="shared" si="18"/>
        <v>Lentille</v>
      </c>
      <c r="BC300" s="332">
        <f t="array" ref="BC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36 et plus],MATCH(RationHivernaleBovinsAuPré&amp;$BB300,Règles_bovins[Ration]&amp;Règles_bovins[Aliment],0)),0),0)*IF(SUM(TotalBovinsAdultesAuPré)&gt;0,SUM(TotalBovinsAdultesAuPré),SUM(TotalBovinsAdultes))*35</f>
        <v>0</v>
      </c>
      <c r="BD300" s="332">
        <f t="array" ref="BD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24-36],MATCH(RationHivernaleBovinsAuPré&amp;$BB300,Règles_bovins[Ration]&amp;Règles_bovins[Aliment],0)),0),0)*IF(SUM(TotalBovins_24_36moisAuPré)&gt;0,SUM(TotalBovins_24_36moisAuPré),SUM(TotalBovins_24_36mois))*35</f>
        <v>0</v>
      </c>
      <c r="BE300" s="332">
        <f t="array" ref="BE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18-24],MATCH(RationHivernaleBovinsAuPré&amp;$BB300,Règles_bovins[Ration]&amp;Règles_bovins[Aliment],0)),0),0)*IF(SUM(TotalBovins_18_24moisAuPré)&gt;0,SUM(TotalBovins_18_24moisAuPré),SUM(TotalBovins_18_24mois))*35</f>
        <v>0</v>
      </c>
      <c r="BF300" s="332">
        <f t="array" ref="BF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12-18],MATCH(RationHivernaleBovinsAuPré&amp;$BB300,Règles_bovins[Ration]&amp;Règles_bovins[Aliment],0)),0),0)*IF(SUM(TotalBovins_12_18moisAuPré)&gt;0,SUM(TotalBovins_12_18moisAuPré),SUM(TotalBovins_12_18mois))*35</f>
        <v>0</v>
      </c>
      <c r="BG300" s="332">
        <f t="array" ref="BG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6-12],MATCH(RationHivernaleBovinsAuPré&amp;$BB300,Règles_bovins[Ration]&amp;Règles_bovins[Aliment],0)),0),0)*IF(SUM(TotalBovins_6_12moisAuPré)&gt;0,SUM(TotalBovins_6_12moisAuPré),SUM(TotalBovins_6_12mois))*35</f>
        <v>0</v>
      </c>
      <c r="BH300" s="332">
        <f t="array" ref="BH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3-6],MATCH(RationHivernaleBovinsAuPré&amp;$BB300,Règles_bovins[Ration]&amp;Règles_bovins[Aliment],0)),0),0)*IF(SUM(TotalBovins_3_6moisAuPré)&gt;0,SUM(TotalBovins_3_6moisAuPré),SUM(TotalBovins_3_6mois))*35</f>
        <v>0</v>
      </c>
      <c r="BI300" s="332">
        <f t="array" ref="BI300">IFERROR(IF(OR(AND(INDEX(Règles_bovins[Specificite],MATCH(RationHivernaleBovinsAuPré&amp;$BB300,Règles_bovins[Ration]&amp;Règles_bovins[Aliment],0))="s1",IF($BB300=Spécificité1Bovins,1)),
AND(INDEX(Règles_bovins[Specificite],MATCH(RationHivernaleBovinsAuPré&amp;$BB300,Règles_bovins[Ration]&amp;Règles_bovins[Aliment],0))="s2",IF($BB300=Spécificité2Bovins,1)),
INDEX(Règles_bovins[Specificite],MATCH(RationHivernaleBovinsAuPré&amp;$BB300,Règles_bovins[Ration]&amp;Règles_bovins[Aliment],0))="c"),
INDEX(Règles_bovins[Valeur 0-3],MATCH(RationHivernaleBovinsAuPré&amp;$BB300,Règles_bovins[Ration]&amp;Règles_bovins[Aliment],0)),0),0)*IF(SUM(TotalBovins_0_3moisAuPré)&gt;0,SUM(TotalBovins_0_3moisAuPré),SUM(TotalBovins_0_3mois))*35</f>
        <v>0</v>
      </c>
      <c r="BJ300" s="334">
        <f t="shared" si="17"/>
        <v>0</v>
      </c>
    </row>
    <row r="301" spans="1:62" ht="12.75" customHeight="1" x14ac:dyDescent="0.2">
      <c r="A301" s="276"/>
      <c r="B301" s="276"/>
      <c r="BB301" s="332" t="str">
        <f t="shared" si="18"/>
        <v>Maïs ensilé</v>
      </c>
      <c r="BC301" s="332">
        <f t="array" ref="BC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36 et plus],MATCH(RationHivernaleBovinsAuPré&amp;$BB301,Règles_bovins[Ration]&amp;Règles_bovins[Aliment],0)),0),0)*IF(SUM(TotalBovinsAdultesAuPré)&gt;0,SUM(TotalBovinsAdultesAuPré),SUM(TotalBovinsAdultes))*35</f>
        <v>0</v>
      </c>
      <c r="BD301" s="332">
        <f t="array" ref="BD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24-36],MATCH(RationHivernaleBovinsAuPré&amp;$BB301,Règles_bovins[Ration]&amp;Règles_bovins[Aliment],0)),0),0)*IF(SUM(TotalBovins_24_36moisAuPré)&gt;0,SUM(TotalBovins_24_36moisAuPré),SUM(TotalBovins_24_36mois))*35</f>
        <v>0</v>
      </c>
      <c r="BE301" s="332">
        <f t="array" ref="BE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18-24],MATCH(RationHivernaleBovinsAuPré&amp;$BB301,Règles_bovins[Ration]&amp;Règles_bovins[Aliment],0)),0),0)*IF(SUM(TotalBovins_18_24moisAuPré)&gt;0,SUM(TotalBovins_18_24moisAuPré),SUM(TotalBovins_18_24mois))*35</f>
        <v>0</v>
      </c>
      <c r="BF301" s="332">
        <f t="array" ref="BF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12-18],MATCH(RationHivernaleBovinsAuPré&amp;$BB301,Règles_bovins[Ration]&amp;Règles_bovins[Aliment],0)),0),0)*IF(SUM(TotalBovins_12_18moisAuPré)&gt;0,SUM(TotalBovins_12_18moisAuPré),SUM(TotalBovins_12_18mois))*35</f>
        <v>0</v>
      </c>
      <c r="BG301" s="332">
        <f t="array" ref="BG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6-12],MATCH(RationHivernaleBovinsAuPré&amp;$BB301,Règles_bovins[Ration]&amp;Règles_bovins[Aliment],0)),0),0)*IF(SUM(TotalBovins_6_12moisAuPré)&gt;0,SUM(TotalBovins_6_12moisAuPré),SUM(TotalBovins_6_12mois))*35</f>
        <v>0</v>
      </c>
      <c r="BH301" s="332">
        <f t="array" ref="BH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3-6],MATCH(RationHivernaleBovinsAuPré&amp;$BB301,Règles_bovins[Ration]&amp;Règles_bovins[Aliment],0)),0),0)*IF(SUM(TotalBovins_3_6moisAuPré)&gt;0,SUM(TotalBovins_3_6moisAuPré),SUM(TotalBovins_3_6mois))*35</f>
        <v>0</v>
      </c>
      <c r="BI301" s="332">
        <f t="array" ref="BI301">IFERROR(IF(OR(AND(INDEX(Règles_bovins[Specificite],MATCH(RationHivernaleBovinsAuPré&amp;$BB301,Règles_bovins[Ration]&amp;Règles_bovins[Aliment],0))="s1",IF($BB301=Spécificité1Bovins,1)),
AND(INDEX(Règles_bovins[Specificite],MATCH(RationHivernaleBovinsAuPré&amp;$BB301,Règles_bovins[Ration]&amp;Règles_bovins[Aliment],0))="s2",IF($BB301=Spécificité2Bovins,1)),
INDEX(Règles_bovins[Specificite],MATCH(RationHivernaleBovinsAuPré&amp;$BB301,Règles_bovins[Ration]&amp;Règles_bovins[Aliment],0))="c"),
INDEX(Règles_bovins[Valeur 0-3],MATCH(RationHivernaleBovinsAuPré&amp;$BB301,Règles_bovins[Ration]&amp;Règles_bovins[Aliment],0)),0),0)*IF(SUM(TotalBovins_0_3moisAuPré)&gt;0,SUM(TotalBovins_0_3moisAuPré),SUM(TotalBovins_0_3mois))*35</f>
        <v>0</v>
      </c>
      <c r="BJ301" s="334">
        <f t="shared" si="17"/>
        <v>0</v>
      </c>
    </row>
    <row r="302" spans="1:62" ht="12.75" customHeight="1" x14ac:dyDescent="0.2">
      <c r="A302" s="276"/>
      <c r="B302" s="276"/>
      <c r="BB302" s="332" t="str">
        <f t="shared" si="18"/>
        <v>Maïs grain</v>
      </c>
      <c r="BC302" s="332">
        <f t="array" ref="BC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36 et plus],MATCH(RationHivernaleBovinsAuPré&amp;$BB302,Règles_bovins[Ration]&amp;Règles_bovins[Aliment],0)),0),0)*IF(SUM(TotalBovinsAdultesAuPré)&gt;0,SUM(TotalBovinsAdultesAuPré),SUM(TotalBovinsAdultes))*35</f>
        <v>0</v>
      </c>
      <c r="BD302" s="332">
        <f t="array" ref="BD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24-36],MATCH(RationHivernaleBovinsAuPré&amp;$BB302,Règles_bovins[Ration]&amp;Règles_bovins[Aliment],0)),0),0)*IF(SUM(TotalBovins_24_36moisAuPré)&gt;0,SUM(TotalBovins_24_36moisAuPré),SUM(TotalBovins_24_36mois))*35</f>
        <v>0</v>
      </c>
      <c r="BE302" s="332">
        <f t="array" ref="BE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18-24],MATCH(RationHivernaleBovinsAuPré&amp;$BB302,Règles_bovins[Ration]&amp;Règles_bovins[Aliment],0)),0),0)*IF(SUM(TotalBovins_18_24moisAuPré)&gt;0,SUM(TotalBovins_18_24moisAuPré),SUM(TotalBovins_18_24mois))*35</f>
        <v>0</v>
      </c>
      <c r="BF302" s="332">
        <f t="array" ref="BF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12-18],MATCH(RationHivernaleBovinsAuPré&amp;$BB302,Règles_bovins[Ration]&amp;Règles_bovins[Aliment],0)),0),0)*IF(SUM(TotalBovins_12_18moisAuPré)&gt;0,SUM(TotalBovins_12_18moisAuPré),SUM(TotalBovins_12_18mois))*35</f>
        <v>0</v>
      </c>
      <c r="BG302" s="332">
        <f t="array" ref="BG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6-12],MATCH(RationHivernaleBovinsAuPré&amp;$BB302,Règles_bovins[Ration]&amp;Règles_bovins[Aliment],0)),0),0)*IF(SUM(TotalBovins_6_12moisAuPré)&gt;0,SUM(TotalBovins_6_12moisAuPré),SUM(TotalBovins_6_12mois))*35</f>
        <v>0</v>
      </c>
      <c r="BH302" s="332">
        <f t="array" ref="BH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3-6],MATCH(RationHivernaleBovinsAuPré&amp;$BB302,Règles_bovins[Ration]&amp;Règles_bovins[Aliment],0)),0),0)*IF(SUM(TotalBovins_3_6moisAuPré)&gt;0,SUM(TotalBovins_3_6moisAuPré),SUM(TotalBovins_3_6mois))*35</f>
        <v>0</v>
      </c>
      <c r="BI302" s="332">
        <f t="array" ref="BI302">IFERROR(IF(OR(AND(INDEX(Règles_bovins[Specificite],MATCH(RationHivernaleBovinsAuPré&amp;$BB302,Règles_bovins[Ration]&amp;Règles_bovins[Aliment],0))="s1",IF($BB302=Spécificité1Bovins,1)),
AND(INDEX(Règles_bovins[Specificite],MATCH(RationHivernaleBovinsAuPré&amp;$BB302,Règles_bovins[Ration]&amp;Règles_bovins[Aliment],0))="s2",IF($BB302=Spécificité2Bovins,1)),
INDEX(Règles_bovins[Specificite],MATCH(RationHivernaleBovinsAuPré&amp;$BB302,Règles_bovins[Ration]&amp;Règles_bovins[Aliment],0))="c"),
INDEX(Règles_bovins[Valeur 0-3],MATCH(RationHivernaleBovinsAuPré&amp;$BB302,Règles_bovins[Ration]&amp;Règles_bovins[Aliment],0)),0),0)*IF(SUM(TotalBovins_0_3moisAuPré)&gt;0,SUM(TotalBovins_0_3moisAuPré),SUM(TotalBovins_0_3mois))*35</f>
        <v>0</v>
      </c>
      <c r="BJ302" s="334">
        <f t="shared" si="17"/>
        <v>0</v>
      </c>
    </row>
    <row r="303" spans="1:62" ht="12.75" customHeight="1" x14ac:dyDescent="0.2">
      <c r="A303" s="276"/>
      <c r="B303" s="276"/>
      <c r="BB303" s="332" t="str">
        <f t="shared" si="18"/>
        <v>Minéraux + vitamines</v>
      </c>
      <c r="BC303" s="332">
        <f t="array" ref="BC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36 et plus],MATCH(RationHivernaleBovinsAuPré&amp;$BB303,Règles_bovins[Ration]&amp;Règles_bovins[Aliment],0)),0),0)*IF(SUM(TotalBovinsAdultesAuPré)&gt;0,SUM(TotalBovinsAdultesAuPré),SUM(TotalBovinsAdultes))*35</f>
        <v>0</v>
      </c>
      <c r="BD303" s="332">
        <f t="array" ref="BD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24-36],MATCH(RationHivernaleBovinsAuPré&amp;$BB303,Règles_bovins[Ration]&amp;Règles_bovins[Aliment],0)),0),0)*IF(SUM(TotalBovins_24_36moisAuPré)&gt;0,SUM(TotalBovins_24_36moisAuPré),SUM(TotalBovins_24_36mois))*35</f>
        <v>0</v>
      </c>
      <c r="BE303" s="332">
        <f t="array" ref="BE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18-24],MATCH(RationHivernaleBovinsAuPré&amp;$BB303,Règles_bovins[Ration]&amp;Règles_bovins[Aliment],0)),0),0)*IF(SUM(TotalBovins_18_24moisAuPré)&gt;0,SUM(TotalBovins_18_24moisAuPré),SUM(TotalBovins_18_24mois))*35</f>
        <v>0</v>
      </c>
      <c r="BF303" s="332">
        <f t="array" ref="BF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12-18],MATCH(RationHivernaleBovinsAuPré&amp;$BB303,Règles_bovins[Ration]&amp;Règles_bovins[Aliment],0)),0),0)*IF(SUM(TotalBovins_12_18moisAuPré)&gt;0,SUM(TotalBovins_12_18moisAuPré),SUM(TotalBovins_12_18mois))*35</f>
        <v>0</v>
      </c>
      <c r="BG303" s="332">
        <f t="array" ref="BG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6-12],MATCH(RationHivernaleBovinsAuPré&amp;$BB303,Règles_bovins[Ration]&amp;Règles_bovins[Aliment],0)),0),0)*IF(SUM(TotalBovins_6_12moisAuPré)&gt;0,SUM(TotalBovins_6_12moisAuPré),SUM(TotalBovins_6_12mois))*35</f>
        <v>0</v>
      </c>
      <c r="BH303" s="332">
        <f t="array" ref="BH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3-6],MATCH(RationHivernaleBovinsAuPré&amp;$BB303,Règles_bovins[Ration]&amp;Règles_bovins[Aliment],0)),0),0)*IF(SUM(TotalBovins_3_6moisAuPré)&gt;0,SUM(TotalBovins_3_6moisAuPré),SUM(TotalBovins_3_6mois))*35</f>
        <v>0</v>
      </c>
      <c r="BI303" s="332">
        <f t="array" ref="BI303">IFERROR(IF(OR(AND(INDEX(Règles_bovins[Specificite],MATCH(RationHivernaleBovinsAuPré&amp;$BB303,Règles_bovins[Ration]&amp;Règles_bovins[Aliment],0))="s1",IF($BB303=Spécificité1Bovins,1)),
AND(INDEX(Règles_bovins[Specificite],MATCH(RationHivernaleBovinsAuPré&amp;$BB303,Règles_bovins[Ration]&amp;Règles_bovins[Aliment],0))="s2",IF($BB303=Spécificité2Bovins,1)),
INDEX(Règles_bovins[Specificite],MATCH(RationHivernaleBovinsAuPré&amp;$BB303,Règles_bovins[Ration]&amp;Règles_bovins[Aliment],0))="c"),
INDEX(Règles_bovins[Valeur 0-3],MATCH(RationHivernaleBovinsAuPré&amp;$BB303,Règles_bovins[Ration]&amp;Règles_bovins[Aliment],0)),0),0)*IF(SUM(TotalBovins_0_3moisAuPré)&gt;0,SUM(TotalBovins_0_3moisAuPré),SUM(TotalBovins_0_3mois))*35</f>
        <v>0</v>
      </c>
      <c r="BJ303" s="334">
        <f t="shared" si="17"/>
        <v>0</v>
      </c>
    </row>
    <row r="304" spans="1:62" ht="12.75" customHeight="1" x14ac:dyDescent="0.2">
      <c r="A304" s="276"/>
      <c r="B304" s="276"/>
      <c r="BB304" s="332" t="str">
        <f t="shared" si="18"/>
        <v>Orge</v>
      </c>
      <c r="BC304" s="332">
        <f t="array" ref="BC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36 et plus],MATCH(RationHivernaleBovinsAuPré&amp;$BB304,Règles_bovins[Ration]&amp;Règles_bovins[Aliment],0)),0),0)*IF(SUM(TotalBovinsAdultesAuPré)&gt;0,SUM(TotalBovinsAdultesAuPré),SUM(TotalBovinsAdultes))*35</f>
        <v>0</v>
      </c>
      <c r="BD304" s="332">
        <f t="array" ref="BD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24-36],MATCH(RationHivernaleBovinsAuPré&amp;$BB304,Règles_bovins[Ration]&amp;Règles_bovins[Aliment],0)),0),0)*IF(SUM(TotalBovins_24_36moisAuPré)&gt;0,SUM(TotalBovins_24_36moisAuPré),SUM(TotalBovins_24_36mois))*35</f>
        <v>0</v>
      </c>
      <c r="BE304" s="332">
        <f t="array" ref="BE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18-24],MATCH(RationHivernaleBovinsAuPré&amp;$BB304,Règles_bovins[Ration]&amp;Règles_bovins[Aliment],0)),0),0)*IF(SUM(TotalBovins_18_24moisAuPré)&gt;0,SUM(TotalBovins_18_24moisAuPré),SUM(TotalBovins_18_24mois))*35</f>
        <v>0</v>
      </c>
      <c r="BF304" s="332">
        <f t="array" ref="BF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12-18],MATCH(RationHivernaleBovinsAuPré&amp;$BB304,Règles_bovins[Ration]&amp;Règles_bovins[Aliment],0)),0),0)*IF(SUM(TotalBovins_12_18moisAuPré)&gt;0,SUM(TotalBovins_12_18moisAuPré),SUM(TotalBovins_12_18mois))*35</f>
        <v>0</v>
      </c>
      <c r="BG304" s="332">
        <f t="array" ref="BG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6-12],MATCH(RationHivernaleBovinsAuPré&amp;$BB304,Règles_bovins[Ration]&amp;Règles_bovins[Aliment],0)),0),0)*IF(SUM(TotalBovins_6_12moisAuPré)&gt;0,SUM(TotalBovins_6_12moisAuPré),SUM(TotalBovins_6_12mois))*35</f>
        <v>0</v>
      </c>
      <c r="BH304" s="332">
        <f t="array" ref="BH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3-6],MATCH(RationHivernaleBovinsAuPré&amp;$BB304,Règles_bovins[Ration]&amp;Règles_bovins[Aliment],0)),0),0)*IF(SUM(TotalBovins_3_6moisAuPré)&gt;0,SUM(TotalBovins_3_6moisAuPré),SUM(TotalBovins_3_6mois))*35</f>
        <v>0</v>
      </c>
      <c r="BI304" s="332">
        <f t="array" ref="BI304">IFERROR(IF(OR(AND(INDEX(Règles_bovins[Specificite],MATCH(RationHivernaleBovinsAuPré&amp;$BB304,Règles_bovins[Ration]&amp;Règles_bovins[Aliment],0))="s1",IF($BB304=Spécificité1Bovins,1)),
AND(INDEX(Règles_bovins[Specificite],MATCH(RationHivernaleBovinsAuPré&amp;$BB304,Règles_bovins[Ration]&amp;Règles_bovins[Aliment],0))="s2",IF($BB304=Spécificité2Bovins,1)),
INDEX(Règles_bovins[Specificite],MATCH(RationHivernaleBovinsAuPré&amp;$BB304,Règles_bovins[Ration]&amp;Règles_bovins[Aliment],0))="c"),
INDEX(Règles_bovins[Valeur 0-3],MATCH(RationHivernaleBovinsAuPré&amp;$BB304,Règles_bovins[Ration]&amp;Règles_bovins[Aliment],0)),0),0)*IF(SUM(TotalBovins_0_3moisAuPré)&gt;0,SUM(TotalBovins_0_3moisAuPré),SUM(TotalBovins_0_3mois))*35</f>
        <v>0</v>
      </c>
      <c r="BJ304" s="334">
        <f t="shared" si="17"/>
        <v>0</v>
      </c>
    </row>
    <row r="305" spans="1:65" ht="12.75" customHeight="1" x14ac:dyDescent="0.2">
      <c r="A305" s="276"/>
      <c r="B305" s="276"/>
      <c r="BB305" s="332" t="str">
        <f t="shared" si="18"/>
        <v>Paille</v>
      </c>
      <c r="BC305" s="332">
        <f t="array" ref="BC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36 et plus],MATCH(RationHivernaleBovinsAuPré&amp;$BB305,Règles_bovins[Ration]&amp;Règles_bovins[Aliment],0)),0),0)*IF(SUM(TotalBovinsAdultesAuPré)&gt;0,SUM(TotalBovinsAdultesAuPré),SUM(TotalBovinsAdultes))*35</f>
        <v>0</v>
      </c>
      <c r="BD305" s="332">
        <f t="array" ref="BD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24-36],MATCH(RationHivernaleBovinsAuPré&amp;$BB305,Règles_bovins[Ration]&amp;Règles_bovins[Aliment],0)),0),0)*IF(SUM(TotalBovins_24_36moisAuPré)&gt;0,SUM(TotalBovins_24_36moisAuPré),SUM(TotalBovins_24_36mois))*35</f>
        <v>0</v>
      </c>
      <c r="BE305" s="332">
        <f t="array" ref="BE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18-24],MATCH(RationHivernaleBovinsAuPré&amp;$BB305,Règles_bovins[Ration]&amp;Règles_bovins[Aliment],0)),0),0)*IF(SUM(TotalBovins_18_24moisAuPré)&gt;0,SUM(TotalBovins_18_24moisAuPré),SUM(TotalBovins_18_24mois))*35</f>
        <v>0</v>
      </c>
      <c r="BF305" s="332">
        <f t="array" ref="BF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12-18],MATCH(RationHivernaleBovinsAuPré&amp;$BB305,Règles_bovins[Ration]&amp;Règles_bovins[Aliment],0)),0),0)*IF(SUM(TotalBovins_12_18moisAuPré)&gt;0,SUM(TotalBovins_12_18moisAuPré),SUM(TotalBovins_12_18mois))*35</f>
        <v>0</v>
      </c>
      <c r="BG305" s="332">
        <f t="array" ref="BG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6-12],MATCH(RationHivernaleBovinsAuPré&amp;$BB305,Règles_bovins[Ration]&amp;Règles_bovins[Aliment],0)),0),0)*IF(SUM(TotalBovins_6_12moisAuPré)&gt;0,SUM(TotalBovins_6_12moisAuPré),SUM(TotalBovins_6_12mois))*35</f>
        <v>0</v>
      </c>
      <c r="BH305" s="332">
        <f t="array" ref="BH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3-6],MATCH(RationHivernaleBovinsAuPré&amp;$BB305,Règles_bovins[Ration]&amp;Règles_bovins[Aliment],0)),0),0)*IF(SUM(TotalBovins_3_6moisAuPré)&gt;0,SUM(TotalBovins_3_6moisAuPré),SUM(TotalBovins_3_6mois))*35</f>
        <v>0</v>
      </c>
      <c r="BI305" s="332">
        <f t="array" ref="BI305">IFERROR(IF(OR(AND(INDEX(Règles_bovins[Specificite],MATCH(RationHivernaleBovinsAuPré&amp;$BB305,Règles_bovins[Ration]&amp;Règles_bovins[Aliment],0))="s1",IF($BB305=Spécificité1Bovins,1)),
AND(INDEX(Règles_bovins[Specificite],MATCH(RationHivernaleBovinsAuPré&amp;$BB305,Règles_bovins[Ration]&amp;Règles_bovins[Aliment],0))="s2",IF($BB305=Spécificité2Bovins,1)),
INDEX(Règles_bovins[Specificite],MATCH(RationHivernaleBovinsAuPré&amp;$BB305,Règles_bovins[Ration]&amp;Règles_bovins[Aliment],0))="c"),
INDEX(Règles_bovins[Valeur 0-3],MATCH(RationHivernaleBovinsAuPré&amp;$BB305,Règles_bovins[Ration]&amp;Règles_bovins[Aliment],0)),0),0)*IF(SUM(TotalBovins_0_3moisAuPré)&gt;0,SUM(TotalBovins_0_3moisAuPré),SUM(TotalBovins_0_3mois))*35</f>
        <v>0</v>
      </c>
      <c r="BJ305" s="334">
        <f t="shared" si="17"/>
        <v>0</v>
      </c>
    </row>
    <row r="306" spans="1:65" ht="12.75" customHeight="1" x14ac:dyDescent="0.2">
      <c r="A306" s="276"/>
      <c r="B306" s="276"/>
      <c r="BB306" s="332" t="str">
        <f t="shared" si="18"/>
        <v>Pois</v>
      </c>
      <c r="BC306" s="332">
        <f t="array" ref="BC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36 et plus],MATCH(RationHivernaleBovinsAuPré&amp;$BB306,Règles_bovins[Ration]&amp;Règles_bovins[Aliment],0)),0),0)*IF(SUM(TotalBovinsAdultesAuPré)&gt;0,SUM(TotalBovinsAdultesAuPré),SUM(TotalBovinsAdultes))*35</f>
        <v>0</v>
      </c>
      <c r="BD306" s="332">
        <f t="array" ref="BD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24-36],MATCH(RationHivernaleBovinsAuPré&amp;$BB306,Règles_bovins[Ration]&amp;Règles_bovins[Aliment],0)),0),0)*IF(SUM(TotalBovins_24_36moisAuPré)&gt;0,SUM(TotalBovins_24_36moisAuPré),SUM(TotalBovins_24_36mois))*35</f>
        <v>0</v>
      </c>
      <c r="BE306" s="332">
        <f t="array" ref="BE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18-24],MATCH(RationHivernaleBovinsAuPré&amp;$BB306,Règles_bovins[Ration]&amp;Règles_bovins[Aliment],0)),0),0)*IF(SUM(TotalBovins_18_24moisAuPré)&gt;0,SUM(TotalBovins_18_24moisAuPré),SUM(TotalBovins_18_24mois))*35</f>
        <v>0</v>
      </c>
      <c r="BF306" s="332">
        <f t="array" ref="BF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12-18],MATCH(RationHivernaleBovinsAuPré&amp;$BB306,Règles_bovins[Ration]&amp;Règles_bovins[Aliment],0)),0),0)*IF(SUM(TotalBovins_12_18moisAuPré)&gt;0,SUM(TotalBovins_12_18moisAuPré),SUM(TotalBovins_12_18mois))*35</f>
        <v>0</v>
      </c>
      <c r="BG306" s="332">
        <f t="array" ref="BG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6-12],MATCH(RationHivernaleBovinsAuPré&amp;$BB306,Règles_bovins[Ration]&amp;Règles_bovins[Aliment],0)),0),0)*IF(SUM(TotalBovins_6_12moisAuPré)&gt;0,SUM(TotalBovins_6_12moisAuPré),SUM(TotalBovins_6_12mois))*35</f>
        <v>0</v>
      </c>
      <c r="BH306" s="332">
        <f t="array" ref="BH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3-6],MATCH(RationHivernaleBovinsAuPré&amp;$BB306,Règles_bovins[Ration]&amp;Règles_bovins[Aliment],0)),0),0)*IF(SUM(TotalBovins_3_6moisAuPré)&gt;0,SUM(TotalBovins_3_6moisAuPré),SUM(TotalBovins_3_6mois))*35</f>
        <v>0</v>
      </c>
      <c r="BI306" s="332">
        <f t="array" ref="BI306">IFERROR(IF(OR(AND(INDEX(Règles_bovins[Specificite],MATCH(RationHivernaleBovinsAuPré&amp;$BB306,Règles_bovins[Ration]&amp;Règles_bovins[Aliment],0))="s1",IF($BB306=Spécificité1Bovins,1)),
AND(INDEX(Règles_bovins[Specificite],MATCH(RationHivernaleBovinsAuPré&amp;$BB306,Règles_bovins[Ration]&amp;Règles_bovins[Aliment],0))="s2",IF($BB306=Spécificité2Bovins,1)),
INDEX(Règles_bovins[Specificite],MATCH(RationHivernaleBovinsAuPré&amp;$BB306,Règles_bovins[Ration]&amp;Règles_bovins[Aliment],0))="c"),
INDEX(Règles_bovins[Valeur 0-3],MATCH(RationHivernaleBovinsAuPré&amp;$BB306,Règles_bovins[Ration]&amp;Règles_bovins[Aliment],0)),0),0)*IF(SUM(TotalBovins_0_3moisAuPré)&gt;0,SUM(TotalBovins_0_3moisAuPré),SUM(TotalBovins_0_3mois))*35</f>
        <v>0</v>
      </c>
      <c r="BJ306" s="334">
        <f t="shared" si="17"/>
        <v>0</v>
      </c>
    </row>
    <row r="307" spans="1:65" ht="12.75" customHeight="1" x14ac:dyDescent="0.2">
      <c r="A307" s="276"/>
      <c r="B307" s="276"/>
      <c r="BB307" s="332" t="str">
        <f t="shared" si="18"/>
        <v>Pomme de terre</v>
      </c>
      <c r="BC307" s="332">
        <f t="array" ref="BC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36 et plus],MATCH(RationHivernaleBovinsAuPré&amp;$BB307,Règles_bovins[Ration]&amp;Règles_bovins[Aliment],0)),0),0)*IF(SUM(TotalBovinsAdultesAuPré)&gt;0,SUM(TotalBovinsAdultesAuPré),SUM(TotalBovinsAdultes))*35</f>
        <v>0</v>
      </c>
      <c r="BD307" s="332">
        <f t="array" ref="BD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24-36],MATCH(RationHivernaleBovinsAuPré&amp;$BB307,Règles_bovins[Ration]&amp;Règles_bovins[Aliment],0)),0),0)*IF(SUM(TotalBovins_24_36moisAuPré)&gt;0,SUM(TotalBovins_24_36moisAuPré),SUM(TotalBovins_24_36mois))*35</f>
        <v>0</v>
      </c>
      <c r="BE307" s="332">
        <f t="array" ref="BE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18-24],MATCH(RationHivernaleBovinsAuPré&amp;$BB307,Règles_bovins[Ration]&amp;Règles_bovins[Aliment],0)),0),0)*IF(SUM(TotalBovins_18_24moisAuPré)&gt;0,SUM(TotalBovins_18_24moisAuPré),SUM(TotalBovins_18_24mois))*35</f>
        <v>0</v>
      </c>
      <c r="BF307" s="332">
        <f t="array" ref="BF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12-18],MATCH(RationHivernaleBovinsAuPré&amp;$BB307,Règles_bovins[Ration]&amp;Règles_bovins[Aliment],0)),0),0)*IF(SUM(TotalBovins_12_18moisAuPré)&gt;0,SUM(TotalBovins_12_18moisAuPré),SUM(TotalBovins_12_18mois))*35</f>
        <v>0</v>
      </c>
      <c r="BG307" s="332">
        <f t="array" ref="BG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6-12],MATCH(RationHivernaleBovinsAuPré&amp;$BB307,Règles_bovins[Ration]&amp;Règles_bovins[Aliment],0)),0),0)*IF(SUM(TotalBovins_6_12moisAuPré)&gt;0,SUM(TotalBovins_6_12moisAuPré),SUM(TotalBovins_6_12mois))*35</f>
        <v>0</v>
      </c>
      <c r="BH307" s="332">
        <f t="array" ref="BH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3-6],MATCH(RationHivernaleBovinsAuPré&amp;$BB307,Règles_bovins[Ration]&amp;Règles_bovins[Aliment],0)),0),0)*IF(SUM(TotalBovins_3_6moisAuPré)&gt;0,SUM(TotalBovins_3_6moisAuPré),SUM(TotalBovins_3_6mois))*35</f>
        <v>0</v>
      </c>
      <c r="BI307" s="332">
        <f t="array" ref="BI307">IFERROR(IF(OR(AND(INDEX(Règles_bovins[Specificite],MATCH(RationHivernaleBovinsAuPré&amp;$BB307,Règles_bovins[Ration]&amp;Règles_bovins[Aliment],0))="s1",IF($BB307=Spécificité1Bovins,1)),
AND(INDEX(Règles_bovins[Specificite],MATCH(RationHivernaleBovinsAuPré&amp;$BB307,Règles_bovins[Ration]&amp;Règles_bovins[Aliment],0))="s2",IF($BB307=Spécificité2Bovins,1)),
INDEX(Règles_bovins[Specificite],MATCH(RationHivernaleBovinsAuPré&amp;$BB307,Règles_bovins[Ration]&amp;Règles_bovins[Aliment],0))="c"),
INDEX(Règles_bovins[Valeur 0-3],MATCH(RationHivernaleBovinsAuPré&amp;$BB307,Règles_bovins[Ration]&amp;Règles_bovins[Aliment],0)),0),0)*IF(SUM(TotalBovins_0_3moisAuPré)&gt;0,SUM(TotalBovins_0_3moisAuPré),SUM(TotalBovins_0_3mois))*35</f>
        <v>0</v>
      </c>
      <c r="BJ307" s="334">
        <f t="shared" si="17"/>
        <v>0</v>
      </c>
    </row>
    <row r="308" spans="1:65" ht="12.75" customHeight="1" x14ac:dyDescent="0.2">
      <c r="A308" s="276"/>
      <c r="B308" s="276"/>
      <c r="BB308" s="332" t="str">
        <f t="shared" si="18"/>
        <v>Pulpe déshydratée de betterave</v>
      </c>
      <c r="BC308" s="332">
        <f t="array" ref="BC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36 et plus],MATCH(RationHivernaleBovinsAuPré&amp;$BB308,Règles_bovins[Ration]&amp;Règles_bovins[Aliment],0)),0),0)*IF(SUM(TotalBovinsAdultesAuPré)&gt;0,SUM(TotalBovinsAdultesAuPré),SUM(TotalBovinsAdultes))*35</f>
        <v>0</v>
      </c>
      <c r="BD308" s="332">
        <f t="array" ref="BD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24-36],MATCH(RationHivernaleBovinsAuPré&amp;$BB308,Règles_bovins[Ration]&amp;Règles_bovins[Aliment],0)),0),0)*IF(SUM(TotalBovins_24_36moisAuPré)&gt;0,SUM(TotalBovins_24_36moisAuPré),SUM(TotalBovins_24_36mois))*35</f>
        <v>0</v>
      </c>
      <c r="BE308" s="332">
        <f t="array" ref="BE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18-24],MATCH(RationHivernaleBovinsAuPré&amp;$BB308,Règles_bovins[Ration]&amp;Règles_bovins[Aliment],0)),0),0)*IF(SUM(TotalBovins_18_24moisAuPré)&gt;0,SUM(TotalBovins_18_24moisAuPré),SUM(TotalBovins_18_24mois))*35</f>
        <v>0</v>
      </c>
      <c r="BF308" s="332">
        <f t="array" ref="BF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12-18],MATCH(RationHivernaleBovinsAuPré&amp;$BB308,Règles_bovins[Ration]&amp;Règles_bovins[Aliment],0)),0),0)*IF(SUM(TotalBovins_12_18moisAuPré)&gt;0,SUM(TotalBovins_12_18moisAuPré),SUM(TotalBovins_12_18mois))*35</f>
        <v>0</v>
      </c>
      <c r="BG308" s="332">
        <f t="array" ref="BG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6-12],MATCH(RationHivernaleBovinsAuPré&amp;$BB308,Règles_bovins[Ration]&amp;Règles_bovins[Aliment],0)),0),0)*IF(SUM(TotalBovins_6_12moisAuPré)&gt;0,SUM(TotalBovins_6_12moisAuPré),SUM(TotalBovins_6_12mois))*35</f>
        <v>0</v>
      </c>
      <c r="BH308" s="332">
        <f t="array" ref="BH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3-6],MATCH(RationHivernaleBovinsAuPré&amp;$BB308,Règles_bovins[Ration]&amp;Règles_bovins[Aliment],0)),0),0)*IF(SUM(TotalBovins_3_6moisAuPré)&gt;0,SUM(TotalBovins_3_6moisAuPré),SUM(TotalBovins_3_6mois))*35</f>
        <v>0</v>
      </c>
      <c r="BI308" s="332">
        <f t="array" ref="BI308">IFERROR(IF(OR(AND(INDEX(Règles_bovins[Specificite],MATCH(RationHivernaleBovinsAuPré&amp;$BB308,Règles_bovins[Ration]&amp;Règles_bovins[Aliment],0))="s1",IF($BB308=Spécificité1Bovins,1)),
AND(INDEX(Règles_bovins[Specificite],MATCH(RationHivernaleBovinsAuPré&amp;$BB308,Règles_bovins[Ration]&amp;Règles_bovins[Aliment],0))="s2",IF($BB308=Spécificité2Bovins,1)),
INDEX(Règles_bovins[Specificite],MATCH(RationHivernaleBovinsAuPré&amp;$BB308,Règles_bovins[Ration]&amp;Règles_bovins[Aliment],0))="c"),
INDEX(Règles_bovins[Valeur 0-3],MATCH(RationHivernaleBovinsAuPré&amp;$BB308,Règles_bovins[Ration]&amp;Règles_bovins[Aliment],0)),0),0)*IF(SUM(TotalBovins_0_3moisAuPré)&gt;0,SUM(TotalBovins_0_3moisAuPré),SUM(TotalBovins_0_3mois))*35</f>
        <v>0</v>
      </c>
      <c r="BJ308" s="334">
        <f t="shared" si="17"/>
        <v>0</v>
      </c>
    </row>
    <row r="309" spans="1:65" ht="12.75" customHeight="1" x14ac:dyDescent="0.2">
      <c r="A309" s="276"/>
      <c r="B309" s="276"/>
      <c r="BB309" s="332" t="str">
        <f t="shared" si="18"/>
        <v>Ration complète</v>
      </c>
      <c r="BC309" s="332">
        <f t="array" ref="BC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36 et plus],MATCH(RationHivernaleBovinsAuPré&amp;$BB309,Règles_bovins[Ration]&amp;Règles_bovins[Aliment],0)),0),0)*IF(SUM(TotalBovinsAdultesAuPré)&gt;0,SUM(TotalBovinsAdultesAuPré),SUM(TotalBovinsAdultes))*35</f>
        <v>0</v>
      </c>
      <c r="BD309" s="332">
        <f t="array" ref="BD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24-36],MATCH(RationHivernaleBovinsAuPré&amp;$BB309,Règles_bovins[Ration]&amp;Règles_bovins[Aliment],0)),0),0)*IF(SUM(TotalBovins_24_36moisAuPré)&gt;0,SUM(TotalBovins_24_36moisAuPré),SUM(TotalBovins_24_36mois))*35</f>
        <v>0</v>
      </c>
      <c r="BE309" s="332">
        <f t="array" ref="BE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18-24],MATCH(RationHivernaleBovinsAuPré&amp;$BB309,Règles_bovins[Ration]&amp;Règles_bovins[Aliment],0)),0),0)*IF(SUM(TotalBovins_18_24moisAuPré)&gt;0,SUM(TotalBovins_18_24moisAuPré),SUM(TotalBovins_18_24mois))*35</f>
        <v>0</v>
      </c>
      <c r="BF309" s="332">
        <f t="array" ref="BF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12-18],MATCH(RationHivernaleBovinsAuPré&amp;$BB309,Règles_bovins[Ration]&amp;Règles_bovins[Aliment],0)),0),0)*IF(SUM(TotalBovins_12_18moisAuPré)&gt;0,SUM(TotalBovins_12_18moisAuPré),SUM(TotalBovins_12_18mois))*35</f>
        <v>0</v>
      </c>
      <c r="BG309" s="332">
        <f t="array" ref="BG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6-12],MATCH(RationHivernaleBovinsAuPré&amp;$BB309,Règles_bovins[Ration]&amp;Règles_bovins[Aliment],0)),0),0)*IF(SUM(TotalBovins_6_12moisAuPré)&gt;0,SUM(TotalBovins_6_12moisAuPré),SUM(TotalBovins_6_12mois))*35</f>
        <v>0</v>
      </c>
      <c r="BH309" s="332">
        <f t="array" ref="BH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3-6],MATCH(RationHivernaleBovinsAuPré&amp;$BB309,Règles_bovins[Ration]&amp;Règles_bovins[Aliment],0)),0),0)*IF(SUM(TotalBovins_3_6moisAuPré)&gt;0,SUM(TotalBovins_3_6moisAuPré),SUM(TotalBovins_3_6mois))*35</f>
        <v>0</v>
      </c>
      <c r="BI309" s="332">
        <f t="array" ref="BI309">IFERROR(IF(OR(AND(INDEX(Règles_bovins[Specificite],MATCH(RationHivernaleBovinsAuPré&amp;$BB309,Règles_bovins[Ration]&amp;Règles_bovins[Aliment],0))="s1",IF($BB309=Spécificité1Bovins,1)),
AND(INDEX(Règles_bovins[Specificite],MATCH(RationHivernaleBovinsAuPré&amp;$BB309,Règles_bovins[Ration]&amp;Règles_bovins[Aliment],0))="s2",IF($BB309=Spécificité2Bovins,1)),
INDEX(Règles_bovins[Specificite],MATCH(RationHivernaleBovinsAuPré&amp;$BB309,Règles_bovins[Ration]&amp;Règles_bovins[Aliment],0))="c"),
INDEX(Règles_bovins[Valeur 0-3],MATCH(RationHivernaleBovinsAuPré&amp;$BB309,Règles_bovins[Ration]&amp;Règles_bovins[Aliment],0)),0),0)*IF(SUM(TotalBovins_0_3moisAuPré)&gt;0,SUM(TotalBovins_0_3moisAuPré),SUM(TotalBovins_0_3mois))*35</f>
        <v>0</v>
      </c>
      <c r="BJ309" s="334">
        <f t="shared" si="17"/>
        <v>0</v>
      </c>
      <c r="BM309" s="276"/>
    </row>
    <row r="310" spans="1:65" ht="12.75" customHeight="1" x14ac:dyDescent="0.2">
      <c r="A310" s="276"/>
      <c r="B310" s="276"/>
      <c r="BB310" s="332" t="str">
        <f t="shared" si="18"/>
        <v>Seigle</v>
      </c>
      <c r="BC310" s="332">
        <f t="array" ref="BC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36 et plus],MATCH(RationHivernaleBovinsAuPré&amp;$BB310,Règles_bovins[Ration]&amp;Règles_bovins[Aliment],0)),0),0)*IF(SUM(TotalBovinsAdultesAuPré)&gt;0,SUM(TotalBovinsAdultesAuPré),SUM(TotalBovinsAdultes))*35</f>
        <v>0</v>
      </c>
      <c r="BD310" s="332">
        <f t="array" ref="BD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24-36],MATCH(RationHivernaleBovinsAuPré&amp;$BB310,Règles_bovins[Ration]&amp;Règles_bovins[Aliment],0)),0),0)*IF(SUM(TotalBovins_24_36moisAuPré)&gt;0,SUM(TotalBovins_24_36moisAuPré),SUM(TotalBovins_24_36mois))*35</f>
        <v>0</v>
      </c>
      <c r="BE310" s="332">
        <f t="array" ref="BE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18-24],MATCH(RationHivernaleBovinsAuPré&amp;$BB310,Règles_bovins[Ration]&amp;Règles_bovins[Aliment],0)),0),0)*IF(SUM(TotalBovins_18_24moisAuPré)&gt;0,SUM(TotalBovins_18_24moisAuPré),SUM(TotalBovins_18_24mois))*35</f>
        <v>0</v>
      </c>
      <c r="BF310" s="332">
        <f t="array" ref="BF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12-18],MATCH(RationHivernaleBovinsAuPré&amp;$BB310,Règles_bovins[Ration]&amp;Règles_bovins[Aliment],0)),0),0)*IF(SUM(TotalBovins_12_18moisAuPré)&gt;0,SUM(TotalBovins_12_18moisAuPré),SUM(TotalBovins_12_18mois))*35</f>
        <v>0</v>
      </c>
      <c r="BG310" s="332">
        <f t="array" ref="BG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6-12],MATCH(RationHivernaleBovinsAuPré&amp;$BB310,Règles_bovins[Ration]&amp;Règles_bovins[Aliment],0)),0),0)*IF(SUM(TotalBovins_6_12moisAuPré)&gt;0,SUM(TotalBovins_6_12moisAuPré),SUM(TotalBovins_6_12mois))*35</f>
        <v>0</v>
      </c>
      <c r="BH310" s="332">
        <f t="array" ref="BH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3-6],MATCH(RationHivernaleBovinsAuPré&amp;$BB310,Règles_bovins[Ration]&amp;Règles_bovins[Aliment],0)),0),0)*IF(SUM(TotalBovins_3_6moisAuPré)&gt;0,SUM(TotalBovins_3_6moisAuPré),SUM(TotalBovins_3_6mois))*35</f>
        <v>0</v>
      </c>
      <c r="BI310" s="332">
        <f t="array" ref="BI310">IFERROR(IF(OR(AND(INDEX(Règles_bovins[Specificite],MATCH(RationHivernaleBovinsAuPré&amp;$BB310,Règles_bovins[Ration]&amp;Règles_bovins[Aliment],0))="s1",IF($BB310=Spécificité1Bovins,1)),
AND(INDEX(Règles_bovins[Specificite],MATCH(RationHivernaleBovinsAuPré&amp;$BB310,Règles_bovins[Ration]&amp;Règles_bovins[Aliment],0))="s2",IF($BB310=Spécificité2Bovins,1)),
INDEX(Règles_bovins[Specificite],MATCH(RationHivernaleBovinsAuPré&amp;$BB310,Règles_bovins[Ration]&amp;Règles_bovins[Aliment],0))="c"),
INDEX(Règles_bovins[Valeur 0-3],MATCH(RationHivernaleBovinsAuPré&amp;$BB310,Règles_bovins[Ration]&amp;Règles_bovins[Aliment],0)),0),0)*IF(SUM(TotalBovins_0_3moisAuPré)&gt;0,SUM(TotalBovins_0_3moisAuPré),SUM(TotalBovins_0_3mois))*35</f>
        <v>0</v>
      </c>
      <c r="BJ310" s="334">
        <f t="shared" si="17"/>
        <v>0</v>
      </c>
      <c r="BM310" s="276"/>
    </row>
    <row r="311" spans="1:65" ht="12.75" customHeight="1" x14ac:dyDescent="0.2">
      <c r="A311" s="276"/>
      <c r="B311" s="276"/>
      <c r="BB311" s="332" t="str">
        <f t="shared" si="18"/>
        <v>Soja</v>
      </c>
      <c r="BC311" s="332">
        <f t="array" ref="BC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36 et plus],MATCH(RationHivernaleBovinsAuPré&amp;$BB311,Règles_bovins[Ration]&amp;Règles_bovins[Aliment],0)),0),0)*IF(SUM(TotalBovinsAdultesAuPré)&gt;0,SUM(TotalBovinsAdultesAuPré),SUM(TotalBovinsAdultes))*35</f>
        <v>0</v>
      </c>
      <c r="BD311" s="332">
        <f t="array" ref="BD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24-36],MATCH(RationHivernaleBovinsAuPré&amp;$BB311,Règles_bovins[Ration]&amp;Règles_bovins[Aliment],0)),0),0)*IF(SUM(TotalBovins_24_36moisAuPré)&gt;0,SUM(TotalBovins_24_36moisAuPré),SUM(TotalBovins_24_36mois))*35</f>
        <v>0</v>
      </c>
      <c r="BE311" s="332">
        <f t="array" ref="BE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18-24],MATCH(RationHivernaleBovinsAuPré&amp;$BB311,Règles_bovins[Ration]&amp;Règles_bovins[Aliment],0)),0),0)*IF(SUM(TotalBovins_18_24moisAuPré)&gt;0,SUM(TotalBovins_18_24moisAuPré),SUM(TotalBovins_18_24mois))*35</f>
        <v>0</v>
      </c>
      <c r="BF311" s="332">
        <f t="array" ref="BF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12-18],MATCH(RationHivernaleBovinsAuPré&amp;$BB311,Règles_bovins[Ration]&amp;Règles_bovins[Aliment],0)),0),0)*IF(SUM(TotalBovins_12_18moisAuPré)&gt;0,SUM(TotalBovins_12_18moisAuPré),SUM(TotalBovins_12_18mois))*35</f>
        <v>0</v>
      </c>
      <c r="BG311" s="332">
        <f t="array" ref="BG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6-12],MATCH(RationHivernaleBovinsAuPré&amp;$BB311,Règles_bovins[Ration]&amp;Règles_bovins[Aliment],0)),0),0)*IF(SUM(TotalBovins_6_12moisAuPré)&gt;0,SUM(TotalBovins_6_12moisAuPré),SUM(TotalBovins_6_12mois))*35</f>
        <v>0</v>
      </c>
      <c r="BH311" s="332">
        <f t="array" ref="BH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3-6],MATCH(RationHivernaleBovinsAuPré&amp;$BB311,Règles_bovins[Ration]&amp;Règles_bovins[Aliment],0)),0),0)*IF(SUM(TotalBovins_3_6moisAuPré)&gt;0,SUM(TotalBovins_3_6moisAuPré),SUM(TotalBovins_3_6mois))*35</f>
        <v>0</v>
      </c>
      <c r="BI311" s="332">
        <f t="array" ref="BI311">IFERROR(IF(OR(AND(INDEX(Règles_bovins[Specificite],MATCH(RationHivernaleBovinsAuPré&amp;$BB311,Règles_bovins[Ration]&amp;Règles_bovins[Aliment],0))="s1",IF($BB311=Spécificité1Bovins,1)),
AND(INDEX(Règles_bovins[Specificite],MATCH(RationHivernaleBovinsAuPré&amp;$BB311,Règles_bovins[Ration]&amp;Règles_bovins[Aliment],0))="s2",IF($BB311=Spécificité2Bovins,1)),
INDEX(Règles_bovins[Specificite],MATCH(RationHivernaleBovinsAuPré&amp;$BB311,Règles_bovins[Ration]&amp;Règles_bovins[Aliment],0))="c"),
INDEX(Règles_bovins[Valeur 0-3],MATCH(RationHivernaleBovinsAuPré&amp;$BB311,Règles_bovins[Ration]&amp;Règles_bovins[Aliment],0)),0),0)*IF(SUM(TotalBovins_0_3moisAuPré)&gt;0,SUM(TotalBovins_0_3moisAuPré),SUM(TotalBovins_0_3mois))*35</f>
        <v>0</v>
      </c>
      <c r="BJ311" s="334">
        <f t="shared" si="17"/>
        <v>0</v>
      </c>
      <c r="BM311" s="276"/>
    </row>
    <row r="312" spans="1:65" ht="12.75" customHeight="1" x14ac:dyDescent="0.2">
      <c r="A312" s="276"/>
      <c r="B312" s="276"/>
      <c r="BB312" s="332" t="str">
        <f t="shared" si="18"/>
        <v>Sorgho ensilé</v>
      </c>
      <c r="BC312" s="332">
        <f t="array" ref="BC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36 et plus],MATCH(RationHivernaleBovinsAuPré&amp;$BB312,Règles_bovins[Ration]&amp;Règles_bovins[Aliment],0)),0),0)*IF(SUM(TotalBovinsAdultesAuPré)&gt;0,SUM(TotalBovinsAdultesAuPré),SUM(TotalBovinsAdultes))*35</f>
        <v>0</v>
      </c>
      <c r="BD312" s="332">
        <f t="array" ref="BD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24-36],MATCH(RationHivernaleBovinsAuPré&amp;$BB312,Règles_bovins[Ration]&amp;Règles_bovins[Aliment],0)),0),0)*IF(SUM(TotalBovins_24_36moisAuPré)&gt;0,SUM(TotalBovins_24_36moisAuPré),SUM(TotalBovins_24_36mois))*35</f>
        <v>0</v>
      </c>
      <c r="BE312" s="332">
        <f t="array" ref="BE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18-24],MATCH(RationHivernaleBovinsAuPré&amp;$BB312,Règles_bovins[Ration]&amp;Règles_bovins[Aliment],0)),0),0)*IF(SUM(TotalBovins_18_24moisAuPré)&gt;0,SUM(TotalBovins_18_24moisAuPré),SUM(TotalBovins_18_24mois))*35</f>
        <v>0</v>
      </c>
      <c r="BF312" s="332">
        <f t="array" ref="BF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12-18],MATCH(RationHivernaleBovinsAuPré&amp;$BB312,Règles_bovins[Ration]&amp;Règles_bovins[Aliment],0)),0),0)*IF(SUM(TotalBovins_12_18moisAuPré)&gt;0,SUM(TotalBovins_12_18moisAuPré),SUM(TotalBovins_12_18mois))*35</f>
        <v>0</v>
      </c>
      <c r="BG312" s="332">
        <f t="array" ref="BG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6-12],MATCH(RationHivernaleBovinsAuPré&amp;$BB312,Règles_bovins[Ration]&amp;Règles_bovins[Aliment],0)),0),0)*IF(SUM(TotalBovins_6_12moisAuPré)&gt;0,SUM(TotalBovins_6_12moisAuPré),SUM(TotalBovins_6_12mois))*35</f>
        <v>0</v>
      </c>
      <c r="BH312" s="332">
        <f t="array" ref="BH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3-6],MATCH(RationHivernaleBovinsAuPré&amp;$BB312,Règles_bovins[Ration]&amp;Règles_bovins[Aliment],0)),0),0)*IF(SUM(TotalBovins_3_6moisAuPré)&gt;0,SUM(TotalBovins_3_6moisAuPré),SUM(TotalBovins_3_6mois))*35</f>
        <v>0</v>
      </c>
      <c r="BI312" s="332">
        <f t="array" ref="BI312">IFERROR(IF(OR(AND(INDEX(Règles_bovins[Specificite],MATCH(RationHivernaleBovinsAuPré&amp;$BB312,Règles_bovins[Ration]&amp;Règles_bovins[Aliment],0))="s1",IF($BB312=Spécificité1Bovins,1)),
AND(INDEX(Règles_bovins[Specificite],MATCH(RationHivernaleBovinsAuPré&amp;$BB312,Règles_bovins[Ration]&amp;Règles_bovins[Aliment],0))="s2",IF($BB312=Spécificité2Bovins,1)),
INDEX(Règles_bovins[Specificite],MATCH(RationHivernaleBovinsAuPré&amp;$BB312,Règles_bovins[Ration]&amp;Règles_bovins[Aliment],0))="c"),
INDEX(Règles_bovins[Valeur 0-3],MATCH(RationHivernaleBovinsAuPré&amp;$BB312,Règles_bovins[Ration]&amp;Règles_bovins[Aliment],0)),0),0)*IF(SUM(TotalBovins_0_3moisAuPré)&gt;0,SUM(TotalBovins_0_3moisAuPré),SUM(TotalBovins_0_3mois))*35</f>
        <v>0</v>
      </c>
      <c r="BJ312" s="334">
        <f t="shared" si="17"/>
        <v>0</v>
      </c>
      <c r="BM312" s="276"/>
    </row>
    <row r="313" spans="1:65" ht="12.75" customHeight="1" x14ac:dyDescent="0.2">
      <c r="A313" s="276"/>
      <c r="B313" s="276"/>
      <c r="BB313" s="332" t="str">
        <f t="shared" si="18"/>
        <v>Tournesol</v>
      </c>
      <c r="BC313" s="332">
        <f t="array" ref="BC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36 et plus],MATCH(RationHivernaleBovinsAuPré&amp;$BB313,Règles_bovins[Ration]&amp;Règles_bovins[Aliment],0)),0),0)*IF(SUM(TotalBovinsAdultesAuPré)&gt;0,SUM(TotalBovinsAdultesAuPré),SUM(TotalBovinsAdultes))*35</f>
        <v>0</v>
      </c>
      <c r="BD313" s="332">
        <f t="array" ref="BD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24-36],MATCH(RationHivernaleBovinsAuPré&amp;$BB313,Règles_bovins[Ration]&amp;Règles_bovins[Aliment],0)),0),0)*IF(SUM(TotalBovins_24_36moisAuPré)&gt;0,SUM(TotalBovins_24_36moisAuPré),SUM(TotalBovins_24_36mois))*35</f>
        <v>0</v>
      </c>
      <c r="BE313" s="332">
        <f t="array" ref="BE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18-24],MATCH(RationHivernaleBovinsAuPré&amp;$BB313,Règles_bovins[Ration]&amp;Règles_bovins[Aliment],0)),0),0)*IF(SUM(TotalBovins_18_24moisAuPré)&gt;0,SUM(TotalBovins_18_24moisAuPré),SUM(TotalBovins_18_24mois))*35</f>
        <v>0</v>
      </c>
      <c r="BF313" s="332">
        <f t="array" ref="BF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12-18],MATCH(RationHivernaleBovinsAuPré&amp;$BB313,Règles_bovins[Ration]&amp;Règles_bovins[Aliment],0)),0),0)*IF(SUM(TotalBovins_12_18moisAuPré)&gt;0,SUM(TotalBovins_12_18moisAuPré),SUM(TotalBovins_12_18mois))*35</f>
        <v>0</v>
      </c>
      <c r="BG313" s="332">
        <f t="array" ref="BG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6-12],MATCH(RationHivernaleBovinsAuPré&amp;$BB313,Règles_bovins[Ration]&amp;Règles_bovins[Aliment],0)),0),0)*IF(SUM(TotalBovins_6_12moisAuPré)&gt;0,SUM(TotalBovins_6_12moisAuPré),SUM(TotalBovins_6_12mois))*35</f>
        <v>0</v>
      </c>
      <c r="BH313" s="332">
        <f t="array" ref="BH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3-6],MATCH(RationHivernaleBovinsAuPré&amp;$BB313,Règles_bovins[Ration]&amp;Règles_bovins[Aliment],0)),0),0)*IF(SUM(TotalBovins_3_6moisAuPré)&gt;0,SUM(TotalBovins_3_6moisAuPré),SUM(TotalBovins_3_6mois))*35</f>
        <v>0</v>
      </c>
      <c r="BI313" s="332">
        <f t="array" ref="BI313">IFERROR(IF(OR(AND(INDEX(Règles_bovins[Specificite],MATCH(RationHivernaleBovinsAuPré&amp;$BB313,Règles_bovins[Ration]&amp;Règles_bovins[Aliment],0))="s1",IF($BB313=Spécificité1Bovins,1)),
AND(INDEX(Règles_bovins[Specificite],MATCH(RationHivernaleBovinsAuPré&amp;$BB313,Règles_bovins[Ration]&amp;Règles_bovins[Aliment],0))="s2",IF($BB313=Spécificité2Bovins,1)),
INDEX(Règles_bovins[Specificite],MATCH(RationHivernaleBovinsAuPré&amp;$BB313,Règles_bovins[Ration]&amp;Règles_bovins[Aliment],0))="c"),
INDEX(Règles_bovins[Valeur 0-3],MATCH(RationHivernaleBovinsAuPré&amp;$BB313,Règles_bovins[Ration]&amp;Règles_bovins[Aliment],0)),0),0)*IF(SUM(TotalBovins_0_3moisAuPré)&gt;0,SUM(TotalBovins_0_3moisAuPré),SUM(TotalBovins_0_3mois))*35</f>
        <v>0</v>
      </c>
      <c r="BJ313" s="334">
        <f t="shared" si="17"/>
        <v>0</v>
      </c>
      <c r="BM313" s="276"/>
    </row>
    <row r="314" spans="1:65" ht="12.75" customHeight="1" x14ac:dyDescent="0.2">
      <c r="A314" s="276"/>
      <c r="B314" s="276"/>
      <c r="BB314" s="332" t="str">
        <f t="shared" si="18"/>
        <v>Tourteau de colza</v>
      </c>
      <c r="BC314" s="332">
        <f t="array" ref="BC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36 et plus],MATCH(RationHivernaleBovinsAuPré&amp;$BB314,Règles_bovins[Ration]&amp;Règles_bovins[Aliment],0)),0),0)*IF(SUM(TotalBovinsAdultesAuPré)&gt;0,SUM(TotalBovinsAdultesAuPré),SUM(TotalBovinsAdultes))*35</f>
        <v>0</v>
      </c>
      <c r="BD314" s="332">
        <f t="array" ref="BD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24-36],MATCH(RationHivernaleBovinsAuPré&amp;$BB314,Règles_bovins[Ration]&amp;Règles_bovins[Aliment],0)),0),0)*IF(SUM(TotalBovins_24_36moisAuPré)&gt;0,SUM(TotalBovins_24_36moisAuPré),SUM(TotalBovins_24_36mois))*35</f>
        <v>0</v>
      </c>
      <c r="BE314" s="332">
        <f t="array" ref="BE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18-24],MATCH(RationHivernaleBovinsAuPré&amp;$BB314,Règles_bovins[Ration]&amp;Règles_bovins[Aliment],0)),0),0)*IF(SUM(TotalBovins_18_24moisAuPré)&gt;0,SUM(TotalBovins_18_24moisAuPré),SUM(TotalBovins_18_24mois))*35</f>
        <v>0</v>
      </c>
      <c r="BF314" s="332">
        <f t="array" ref="BF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12-18],MATCH(RationHivernaleBovinsAuPré&amp;$BB314,Règles_bovins[Ration]&amp;Règles_bovins[Aliment],0)),0),0)*IF(SUM(TotalBovins_12_18moisAuPré)&gt;0,SUM(TotalBovins_12_18moisAuPré),SUM(TotalBovins_12_18mois))*35</f>
        <v>0</v>
      </c>
      <c r="BG314" s="332">
        <f t="array" ref="BG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6-12],MATCH(RationHivernaleBovinsAuPré&amp;$BB314,Règles_bovins[Ration]&amp;Règles_bovins[Aliment],0)),0),0)*IF(SUM(TotalBovins_6_12moisAuPré)&gt;0,SUM(TotalBovins_6_12moisAuPré),SUM(TotalBovins_6_12mois))*35</f>
        <v>0</v>
      </c>
      <c r="BH314" s="332">
        <f t="array" ref="BH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3-6],MATCH(RationHivernaleBovinsAuPré&amp;$BB314,Règles_bovins[Ration]&amp;Règles_bovins[Aliment],0)),0),0)*IF(SUM(TotalBovins_3_6moisAuPré)&gt;0,SUM(TotalBovins_3_6moisAuPré),SUM(TotalBovins_3_6mois))*35</f>
        <v>0</v>
      </c>
      <c r="BI314" s="332">
        <f t="array" ref="BI314">IFERROR(IF(OR(AND(INDEX(Règles_bovins[Specificite],MATCH(RationHivernaleBovinsAuPré&amp;$BB314,Règles_bovins[Ration]&amp;Règles_bovins[Aliment],0))="s1",IF($BB314=Spécificité1Bovins,1)),
AND(INDEX(Règles_bovins[Specificite],MATCH(RationHivernaleBovinsAuPré&amp;$BB314,Règles_bovins[Ration]&amp;Règles_bovins[Aliment],0))="s2",IF($BB314=Spécificité2Bovins,1)),
INDEX(Règles_bovins[Specificite],MATCH(RationHivernaleBovinsAuPré&amp;$BB314,Règles_bovins[Ration]&amp;Règles_bovins[Aliment],0))="c"),
INDEX(Règles_bovins[Valeur 0-3],MATCH(RationHivernaleBovinsAuPré&amp;$BB314,Règles_bovins[Ration]&amp;Règles_bovins[Aliment],0)),0),0)*IF(SUM(TotalBovins_0_3moisAuPré)&gt;0,SUM(TotalBovins_0_3moisAuPré),SUM(TotalBovins_0_3mois))*35</f>
        <v>0</v>
      </c>
      <c r="BJ314" s="334">
        <f t="shared" si="17"/>
        <v>0</v>
      </c>
      <c r="BM314" s="276"/>
    </row>
    <row r="315" spans="1:65" ht="12.75" customHeight="1" x14ac:dyDescent="0.2">
      <c r="A315" s="276"/>
      <c r="B315" s="276"/>
      <c r="BB315" s="332" t="str">
        <f t="shared" si="18"/>
        <v>Tourteau de tournesol</v>
      </c>
      <c r="BC315" s="332">
        <f t="array" ref="BC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36 et plus],MATCH(RationHivernaleBovinsAuPré&amp;$BB315,Règles_bovins[Ration]&amp;Règles_bovins[Aliment],0)),0),0)*IF(SUM(TotalBovinsAdultesAuPré)&gt;0,SUM(TotalBovinsAdultesAuPré),SUM(TotalBovinsAdultes))*35</f>
        <v>0</v>
      </c>
      <c r="BD315" s="332">
        <f t="array" ref="BD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24-36],MATCH(RationHivernaleBovinsAuPré&amp;$BB315,Règles_bovins[Ration]&amp;Règles_bovins[Aliment],0)),0),0)*IF(SUM(TotalBovins_24_36moisAuPré)&gt;0,SUM(TotalBovins_24_36moisAuPré),SUM(TotalBovins_24_36mois))*35</f>
        <v>0</v>
      </c>
      <c r="BE315" s="332">
        <f t="array" ref="BE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18-24],MATCH(RationHivernaleBovinsAuPré&amp;$BB315,Règles_bovins[Ration]&amp;Règles_bovins[Aliment],0)),0),0)*IF(SUM(TotalBovins_18_24moisAuPré)&gt;0,SUM(TotalBovins_18_24moisAuPré),SUM(TotalBovins_18_24mois))*35</f>
        <v>0</v>
      </c>
      <c r="BF315" s="332">
        <f t="array" ref="BF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12-18],MATCH(RationHivernaleBovinsAuPré&amp;$BB315,Règles_bovins[Ration]&amp;Règles_bovins[Aliment],0)),0),0)*IF(SUM(TotalBovins_12_18moisAuPré)&gt;0,SUM(TotalBovins_12_18moisAuPré),SUM(TotalBovins_12_18mois))*35</f>
        <v>0</v>
      </c>
      <c r="BG315" s="332">
        <f t="array" ref="BG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6-12],MATCH(RationHivernaleBovinsAuPré&amp;$BB315,Règles_bovins[Ration]&amp;Règles_bovins[Aliment],0)),0),0)*IF(SUM(TotalBovins_6_12moisAuPré)&gt;0,SUM(TotalBovins_6_12moisAuPré),SUM(TotalBovins_6_12mois))*35</f>
        <v>0</v>
      </c>
      <c r="BH315" s="332">
        <f t="array" ref="BH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3-6],MATCH(RationHivernaleBovinsAuPré&amp;$BB315,Règles_bovins[Ration]&amp;Règles_bovins[Aliment],0)),0),0)*IF(SUM(TotalBovins_3_6moisAuPré)&gt;0,SUM(TotalBovins_3_6moisAuPré),SUM(TotalBovins_3_6mois))*35</f>
        <v>0</v>
      </c>
      <c r="BI315" s="332">
        <f t="array" ref="BI315">IFERROR(IF(OR(AND(INDEX(Règles_bovins[Specificite],MATCH(RationHivernaleBovinsAuPré&amp;$BB315,Règles_bovins[Ration]&amp;Règles_bovins[Aliment],0))="s1",IF($BB315=Spécificité1Bovins,1)),
AND(INDEX(Règles_bovins[Specificite],MATCH(RationHivernaleBovinsAuPré&amp;$BB315,Règles_bovins[Ration]&amp;Règles_bovins[Aliment],0))="s2",IF($BB315=Spécificité2Bovins,1)),
INDEX(Règles_bovins[Specificite],MATCH(RationHivernaleBovinsAuPré&amp;$BB315,Règles_bovins[Ration]&amp;Règles_bovins[Aliment],0))="c"),
INDEX(Règles_bovins[Valeur 0-3],MATCH(RationHivernaleBovinsAuPré&amp;$BB315,Règles_bovins[Ration]&amp;Règles_bovins[Aliment],0)),0),0)*IF(SUM(TotalBovins_0_3moisAuPré)&gt;0,SUM(TotalBovins_0_3moisAuPré),SUM(TotalBovins_0_3mois))*35</f>
        <v>0</v>
      </c>
      <c r="BJ315" s="334">
        <f t="shared" si="17"/>
        <v>0</v>
      </c>
      <c r="BM315" s="276"/>
    </row>
    <row r="316" spans="1:65" ht="12.75" customHeight="1" x14ac:dyDescent="0.2">
      <c r="A316" s="276"/>
      <c r="B316" s="276"/>
      <c r="BB316" s="332" t="str">
        <f t="shared" si="18"/>
        <v>Triticale</v>
      </c>
      <c r="BC316" s="332">
        <f t="array" ref="BC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36 et plus],MATCH(RationHivernaleBovinsAuPré&amp;$BB316,Règles_bovins[Ration]&amp;Règles_bovins[Aliment],0)),0),0)*IF(SUM(TotalBovinsAdultesAuPré)&gt;0,SUM(TotalBovinsAdultesAuPré),SUM(TotalBovinsAdultes))*35</f>
        <v>0</v>
      </c>
      <c r="BD316" s="332">
        <f t="array" ref="BD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24-36],MATCH(RationHivernaleBovinsAuPré&amp;$BB316,Règles_bovins[Ration]&amp;Règles_bovins[Aliment],0)),0),0)*IF(SUM(TotalBovins_24_36moisAuPré)&gt;0,SUM(TotalBovins_24_36moisAuPré),SUM(TotalBovins_24_36mois))*35</f>
        <v>0</v>
      </c>
      <c r="BE316" s="332">
        <f t="array" ref="BE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18-24],MATCH(RationHivernaleBovinsAuPré&amp;$BB316,Règles_bovins[Ration]&amp;Règles_bovins[Aliment],0)),0),0)*IF(SUM(TotalBovins_18_24moisAuPré)&gt;0,SUM(TotalBovins_18_24moisAuPré),SUM(TotalBovins_18_24mois))*35</f>
        <v>0</v>
      </c>
      <c r="BF316" s="332">
        <f t="array" ref="BF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12-18],MATCH(RationHivernaleBovinsAuPré&amp;$BB316,Règles_bovins[Ration]&amp;Règles_bovins[Aliment],0)),0),0)*IF(SUM(TotalBovins_12_18moisAuPré)&gt;0,SUM(TotalBovins_12_18moisAuPré),SUM(TotalBovins_12_18mois))*35</f>
        <v>0</v>
      </c>
      <c r="BG316" s="332">
        <f t="array" ref="BG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6-12],MATCH(RationHivernaleBovinsAuPré&amp;$BB316,Règles_bovins[Ration]&amp;Règles_bovins[Aliment],0)),0),0)*IF(SUM(TotalBovins_6_12moisAuPré)&gt;0,SUM(TotalBovins_6_12moisAuPré),SUM(TotalBovins_6_12mois))*35</f>
        <v>0</v>
      </c>
      <c r="BH316" s="332">
        <f t="array" ref="BH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3-6],MATCH(RationHivernaleBovinsAuPré&amp;$BB316,Règles_bovins[Ration]&amp;Règles_bovins[Aliment],0)),0),0)*IF(SUM(TotalBovins_3_6moisAuPré)&gt;0,SUM(TotalBovins_3_6moisAuPré),SUM(TotalBovins_3_6mois))*35</f>
        <v>0</v>
      </c>
      <c r="BI316" s="332">
        <f t="array" ref="BI316">IFERROR(IF(OR(AND(INDEX(Règles_bovins[Specificite],MATCH(RationHivernaleBovinsAuPré&amp;$BB316,Règles_bovins[Ration]&amp;Règles_bovins[Aliment],0))="s1",IF($BB316=Spécificité1Bovins,1)),
AND(INDEX(Règles_bovins[Specificite],MATCH(RationHivernaleBovinsAuPré&amp;$BB316,Règles_bovins[Ration]&amp;Règles_bovins[Aliment],0))="s2",IF($BB316=Spécificité2Bovins,1)),
INDEX(Règles_bovins[Specificite],MATCH(RationHivernaleBovinsAuPré&amp;$BB316,Règles_bovins[Ration]&amp;Règles_bovins[Aliment],0))="c"),
INDEX(Règles_bovins[Valeur 0-3],MATCH(RationHivernaleBovinsAuPré&amp;$BB316,Règles_bovins[Ration]&amp;Règles_bovins[Aliment],0)),0),0)*IF(SUM(TotalBovins_0_3moisAuPré)&gt;0,SUM(TotalBovins_0_3moisAuPré),SUM(TotalBovins_0_3mois))*35</f>
        <v>0</v>
      </c>
      <c r="BJ316" s="334">
        <f t="shared" si="17"/>
        <v>0</v>
      </c>
      <c r="BM316" s="276"/>
    </row>
    <row r="317" spans="1:65" ht="12.75" customHeight="1" x14ac:dyDescent="0.2">
      <c r="A317" s="276"/>
      <c r="B317" s="276"/>
      <c r="BB317" s="332">
        <f t="shared" si="18"/>
        <v>0</v>
      </c>
      <c r="BC317" s="332">
        <f t="array" ref="BC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36 et plus],MATCH(RationHivernaleBovinsAuPré&amp;$BB317,Règles_bovins[Ration]&amp;Règles_bovins[Aliment],0)),0),0)*IF(SUM(TotalBovinsAdultesAuPré)&gt;0,SUM(TotalBovinsAdultesAuPré),SUM(TotalBovinsAdultes))*35</f>
        <v>0</v>
      </c>
      <c r="BD317" s="332">
        <f t="array" ref="BD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24-36],MATCH(RationHivernaleBovinsAuPré&amp;$BB317,Règles_bovins[Ration]&amp;Règles_bovins[Aliment],0)),0),0)*IF(SUM(TotalBovins_24_36moisAuPré)&gt;0,SUM(TotalBovins_24_36moisAuPré),SUM(TotalBovins_24_36mois))*35</f>
        <v>0</v>
      </c>
      <c r="BE317" s="332">
        <f t="array" ref="BE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18-24],MATCH(RationHivernaleBovinsAuPré&amp;$BB317,Règles_bovins[Ration]&amp;Règles_bovins[Aliment],0)),0),0)*IF(SUM(TotalBovins_18_24moisAuPré)&gt;0,SUM(TotalBovins_18_24moisAuPré),SUM(TotalBovins_18_24mois))*35</f>
        <v>0</v>
      </c>
      <c r="BF317" s="332">
        <f t="array" ref="BF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12-18],MATCH(RationHivernaleBovinsAuPré&amp;$BB317,Règles_bovins[Ration]&amp;Règles_bovins[Aliment],0)),0),0)*IF(SUM(TotalBovins_12_18moisAuPré)&gt;0,SUM(TotalBovins_12_18moisAuPré),SUM(TotalBovins_12_18mois))*35</f>
        <v>0</v>
      </c>
      <c r="BG317" s="332">
        <f t="array" ref="BG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6-12],MATCH(RationHivernaleBovinsAuPré&amp;$BB317,Règles_bovins[Ration]&amp;Règles_bovins[Aliment],0)),0),0)*IF(SUM(TotalBovins_6_12moisAuPré)&gt;0,SUM(TotalBovins_6_12moisAuPré),SUM(TotalBovins_6_12mois))*35</f>
        <v>0</v>
      </c>
      <c r="BH317" s="332">
        <f t="array" ref="BH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3-6],MATCH(RationHivernaleBovinsAuPré&amp;$BB317,Règles_bovins[Ration]&amp;Règles_bovins[Aliment],0)),0),0)*IF(SUM(TotalBovins_3_6moisAuPré)&gt;0,SUM(TotalBovins_3_6moisAuPré),SUM(TotalBovins_3_6mois))*35</f>
        <v>0</v>
      </c>
      <c r="BI317" s="332">
        <f t="array" ref="BI317">IFERROR(IF(OR(AND(INDEX(Règles_bovins[Specificite],MATCH(RationHivernaleBovinsAuPré&amp;$BB317,Règles_bovins[Ration]&amp;Règles_bovins[Aliment],0))="s1",IF($BB317=Spécificité1Bovins,1)),
AND(INDEX(Règles_bovins[Specificite],MATCH(RationHivernaleBovinsAuPré&amp;$BB317,Règles_bovins[Ration]&amp;Règles_bovins[Aliment],0))="s2",IF($BB317=Spécificité2Bovins,1)),
INDEX(Règles_bovins[Specificite],MATCH(RationHivernaleBovinsAuPré&amp;$BB317,Règles_bovins[Ration]&amp;Règles_bovins[Aliment],0))="c"),
INDEX(Règles_bovins[Valeur 0-3],MATCH(RationHivernaleBovinsAuPré&amp;$BB317,Règles_bovins[Ration]&amp;Règles_bovins[Aliment],0)),0),0)*IF(SUM(TotalBovins_0_3moisAuPré)&gt;0,SUM(TotalBovins_0_3moisAuPré),SUM(TotalBovins_0_3mois))*35</f>
        <v>0</v>
      </c>
      <c r="BJ317" s="334">
        <f t="shared" si="17"/>
        <v>0</v>
      </c>
      <c r="BM317" s="276"/>
    </row>
    <row r="318" spans="1:65" ht="12.75" customHeight="1" x14ac:dyDescent="0.2">
      <c r="A318" s="276"/>
      <c r="B318" s="276"/>
      <c r="BB318" s="332">
        <f t="shared" si="18"/>
        <v>0</v>
      </c>
      <c r="BC318" s="332">
        <f t="array" ref="BC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36 et plus],MATCH(RationHivernaleBovinsAuPré&amp;$BB318,Règles_bovins[Ration]&amp;Règles_bovins[Aliment],0)),0),0)*IF(SUM(TotalBovinsAdultesAuPré)&gt;0,SUM(TotalBovinsAdultesAuPré),SUM(TotalBovinsAdultes))*35</f>
        <v>0</v>
      </c>
      <c r="BD318" s="332">
        <f t="array" ref="BD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24-36],MATCH(RationHivernaleBovinsAuPré&amp;$BB318,Règles_bovins[Ration]&amp;Règles_bovins[Aliment],0)),0),0)*IF(SUM(TotalBovins_24_36moisAuPré)&gt;0,SUM(TotalBovins_24_36moisAuPré),SUM(TotalBovins_24_36mois))*35</f>
        <v>0</v>
      </c>
      <c r="BE318" s="332">
        <f t="array" ref="BE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18-24],MATCH(RationHivernaleBovinsAuPré&amp;$BB318,Règles_bovins[Ration]&amp;Règles_bovins[Aliment],0)),0),0)*IF(SUM(TotalBovins_18_24moisAuPré)&gt;0,SUM(TotalBovins_18_24moisAuPré),SUM(TotalBovins_18_24mois))*35</f>
        <v>0</v>
      </c>
      <c r="BF318" s="332">
        <f t="array" ref="BF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12-18],MATCH(RationHivernaleBovinsAuPré&amp;$BB318,Règles_bovins[Ration]&amp;Règles_bovins[Aliment],0)),0),0)*IF(SUM(TotalBovins_12_18moisAuPré)&gt;0,SUM(TotalBovins_12_18moisAuPré),SUM(TotalBovins_12_18mois))*35</f>
        <v>0</v>
      </c>
      <c r="BG318" s="332">
        <f t="array" ref="BG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6-12],MATCH(RationHivernaleBovinsAuPré&amp;$BB318,Règles_bovins[Ration]&amp;Règles_bovins[Aliment],0)),0),0)*IF(SUM(TotalBovins_6_12moisAuPré)&gt;0,SUM(TotalBovins_6_12moisAuPré),SUM(TotalBovins_6_12mois))*35</f>
        <v>0</v>
      </c>
      <c r="BH318" s="332">
        <f t="array" ref="BH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3-6],MATCH(RationHivernaleBovinsAuPré&amp;$BB318,Règles_bovins[Ration]&amp;Règles_bovins[Aliment],0)),0),0)*IF(SUM(TotalBovins_3_6moisAuPré)&gt;0,SUM(TotalBovins_3_6moisAuPré),SUM(TotalBovins_3_6mois))*35</f>
        <v>0</v>
      </c>
      <c r="BI318" s="332">
        <f t="array" ref="BI318">IFERROR(IF(OR(AND(INDEX(Règles_bovins[Specificite],MATCH(RationHivernaleBovinsAuPré&amp;$BB318,Règles_bovins[Ration]&amp;Règles_bovins[Aliment],0))="s1",IF($BB318=Spécificité1Bovins,1)),
AND(INDEX(Règles_bovins[Specificite],MATCH(RationHivernaleBovinsAuPré&amp;$BB318,Règles_bovins[Ration]&amp;Règles_bovins[Aliment],0))="s2",IF($BB318=Spécificité2Bovins,1)),
INDEX(Règles_bovins[Specificite],MATCH(RationHivernaleBovinsAuPré&amp;$BB318,Règles_bovins[Ration]&amp;Règles_bovins[Aliment],0))="c"),
INDEX(Règles_bovins[Valeur 0-3],MATCH(RationHivernaleBovinsAuPré&amp;$BB318,Règles_bovins[Ration]&amp;Règles_bovins[Aliment],0)),0),0)*IF(SUM(TotalBovins_0_3moisAuPré)&gt;0,SUM(TotalBovins_0_3moisAuPré),SUM(TotalBovins_0_3mois))*35</f>
        <v>0</v>
      </c>
      <c r="BJ318" s="334">
        <f t="shared" si="17"/>
        <v>0</v>
      </c>
      <c r="BM318" s="276"/>
    </row>
    <row r="319" spans="1:65" ht="12.75" customHeight="1" x14ac:dyDescent="0.2">
      <c r="A319" s="276"/>
      <c r="B319" s="276"/>
      <c r="BB319" s="332">
        <f t="shared" si="18"/>
        <v>0</v>
      </c>
      <c r="BC319" s="332">
        <f t="array" ref="BC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36 et plus],MATCH(RationHivernaleBovinsAuPré&amp;$BB319,Règles_bovins[Ration]&amp;Règles_bovins[Aliment],0)),0),0)*IF(SUM(TotalBovinsAdultesAuPré)&gt;0,SUM(TotalBovinsAdultesAuPré),SUM(TotalBovinsAdultes))*35</f>
        <v>0</v>
      </c>
      <c r="BD319" s="332">
        <f t="array" ref="BD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24-36],MATCH(RationHivernaleBovinsAuPré&amp;$BB319,Règles_bovins[Ration]&amp;Règles_bovins[Aliment],0)),0),0)*IF(SUM(TotalBovins_24_36moisAuPré)&gt;0,SUM(TotalBovins_24_36moisAuPré),SUM(TotalBovins_24_36mois))*35</f>
        <v>0</v>
      </c>
      <c r="BE319" s="332">
        <f t="array" ref="BE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18-24],MATCH(RationHivernaleBovinsAuPré&amp;$BB319,Règles_bovins[Ration]&amp;Règles_bovins[Aliment],0)),0),0)*IF(SUM(TotalBovins_18_24moisAuPré)&gt;0,SUM(TotalBovins_18_24moisAuPré),SUM(TotalBovins_18_24mois))*35</f>
        <v>0</v>
      </c>
      <c r="BF319" s="332">
        <f t="array" ref="BF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12-18],MATCH(RationHivernaleBovinsAuPré&amp;$BB319,Règles_bovins[Ration]&amp;Règles_bovins[Aliment],0)),0),0)*IF(SUM(TotalBovins_12_18moisAuPré)&gt;0,SUM(TotalBovins_12_18moisAuPré),SUM(TotalBovins_12_18mois))*35</f>
        <v>0</v>
      </c>
      <c r="BG319" s="332">
        <f t="array" ref="BG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6-12],MATCH(RationHivernaleBovinsAuPré&amp;$BB319,Règles_bovins[Ration]&amp;Règles_bovins[Aliment],0)),0),0)*IF(SUM(TotalBovins_6_12moisAuPré)&gt;0,SUM(TotalBovins_6_12moisAuPré),SUM(TotalBovins_6_12mois))*35</f>
        <v>0</v>
      </c>
      <c r="BH319" s="332">
        <f t="array" ref="BH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3-6],MATCH(RationHivernaleBovinsAuPré&amp;$BB319,Règles_bovins[Ration]&amp;Règles_bovins[Aliment],0)),0),0)*IF(SUM(TotalBovins_3_6moisAuPré)&gt;0,SUM(TotalBovins_3_6moisAuPré),SUM(TotalBovins_3_6mois))*35</f>
        <v>0</v>
      </c>
      <c r="BI319" s="332">
        <f t="array" ref="BI319">IFERROR(IF(OR(AND(INDEX(Règles_bovins[Specificite],MATCH(RationHivernaleBovinsAuPré&amp;$BB319,Règles_bovins[Ration]&amp;Règles_bovins[Aliment],0))="s1",IF($BB319=Spécificité1Bovins,1)),
AND(INDEX(Règles_bovins[Specificite],MATCH(RationHivernaleBovinsAuPré&amp;$BB319,Règles_bovins[Ration]&amp;Règles_bovins[Aliment],0))="s2",IF($BB319=Spécificité2Bovins,1)),
INDEX(Règles_bovins[Specificite],MATCH(RationHivernaleBovinsAuPré&amp;$BB319,Règles_bovins[Ration]&amp;Règles_bovins[Aliment],0))="c"),
INDEX(Règles_bovins[Valeur 0-3],MATCH(RationHivernaleBovinsAuPré&amp;$BB319,Règles_bovins[Ration]&amp;Règles_bovins[Aliment],0)),0),0)*IF(SUM(TotalBovins_0_3moisAuPré)&gt;0,SUM(TotalBovins_0_3moisAuPré),SUM(TotalBovins_0_3mois))*35</f>
        <v>0</v>
      </c>
      <c r="BJ319" s="334">
        <f t="shared" si="17"/>
        <v>0</v>
      </c>
      <c r="BM319" s="276"/>
    </row>
    <row r="320" spans="1:65" ht="12.75" customHeight="1" x14ac:dyDescent="0.2">
      <c r="A320" s="276"/>
      <c r="B320" s="276"/>
      <c r="BB320" s="332">
        <f t="shared" si="18"/>
        <v>0</v>
      </c>
      <c r="BC320" s="332">
        <f t="array" ref="BC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36 et plus],MATCH(RationHivernaleBovinsAuPré&amp;$BB320,Règles_bovins[Ration]&amp;Règles_bovins[Aliment],0)),0),0)*IF(SUM(TotalBovinsAdultesAuPré)&gt;0,SUM(TotalBovinsAdultesAuPré),SUM(TotalBovinsAdultes))*35</f>
        <v>0</v>
      </c>
      <c r="BD320" s="332">
        <f t="array" ref="BD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24-36],MATCH(RationHivernaleBovinsAuPré&amp;$BB320,Règles_bovins[Ration]&amp;Règles_bovins[Aliment],0)),0),0)*IF(SUM(TotalBovins_24_36moisAuPré)&gt;0,SUM(TotalBovins_24_36moisAuPré),SUM(TotalBovins_24_36mois))*35</f>
        <v>0</v>
      </c>
      <c r="BE320" s="332">
        <f t="array" ref="BE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18-24],MATCH(RationHivernaleBovinsAuPré&amp;$BB320,Règles_bovins[Ration]&amp;Règles_bovins[Aliment],0)),0),0)*IF(SUM(TotalBovins_18_24moisAuPré)&gt;0,SUM(TotalBovins_18_24moisAuPré),SUM(TotalBovins_18_24mois))*35</f>
        <v>0</v>
      </c>
      <c r="BF320" s="332">
        <f t="array" ref="BF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12-18],MATCH(RationHivernaleBovinsAuPré&amp;$BB320,Règles_bovins[Ration]&amp;Règles_bovins[Aliment],0)),0),0)*IF(SUM(TotalBovins_12_18moisAuPré)&gt;0,SUM(TotalBovins_12_18moisAuPré),SUM(TotalBovins_12_18mois))*35</f>
        <v>0</v>
      </c>
      <c r="BG320" s="332">
        <f t="array" ref="BG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6-12],MATCH(RationHivernaleBovinsAuPré&amp;$BB320,Règles_bovins[Ration]&amp;Règles_bovins[Aliment],0)),0),0)*IF(SUM(TotalBovins_6_12moisAuPré)&gt;0,SUM(TotalBovins_6_12moisAuPré),SUM(TotalBovins_6_12mois))*35</f>
        <v>0</v>
      </c>
      <c r="BH320" s="332">
        <f t="array" ref="BH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3-6],MATCH(RationHivernaleBovinsAuPré&amp;$BB320,Règles_bovins[Ration]&amp;Règles_bovins[Aliment],0)),0),0)*IF(SUM(TotalBovins_3_6moisAuPré)&gt;0,SUM(TotalBovins_3_6moisAuPré),SUM(TotalBovins_3_6mois))*35</f>
        <v>0</v>
      </c>
      <c r="BI320" s="332">
        <f t="array" ref="BI320">IFERROR(IF(OR(AND(INDEX(Règles_bovins[Specificite],MATCH(RationHivernaleBovinsAuPré&amp;$BB320,Règles_bovins[Ration]&amp;Règles_bovins[Aliment],0))="s1",IF($BB320=Spécificité1Bovins,1)),
AND(INDEX(Règles_bovins[Specificite],MATCH(RationHivernaleBovinsAuPré&amp;$BB320,Règles_bovins[Ration]&amp;Règles_bovins[Aliment],0))="s2",IF($BB320=Spécificité2Bovins,1)),
INDEX(Règles_bovins[Specificite],MATCH(RationHivernaleBovinsAuPré&amp;$BB320,Règles_bovins[Ration]&amp;Règles_bovins[Aliment],0))="c"),
INDEX(Règles_bovins[Valeur 0-3],MATCH(RationHivernaleBovinsAuPré&amp;$BB320,Règles_bovins[Ration]&amp;Règles_bovins[Aliment],0)),0),0)*IF(SUM(TotalBovins_0_3moisAuPré)&gt;0,SUM(TotalBovins_0_3moisAuPré),SUM(TotalBovins_0_3mois))*35</f>
        <v>0</v>
      </c>
      <c r="BJ320" s="334">
        <f t="shared" si="17"/>
        <v>0</v>
      </c>
      <c r="BM320" s="276"/>
    </row>
    <row r="321" spans="1:65" ht="12.75" customHeight="1" x14ac:dyDescent="0.2">
      <c r="A321" s="276"/>
      <c r="B321" s="276"/>
      <c r="BB321" s="332">
        <f t="shared" si="18"/>
        <v>0</v>
      </c>
      <c r="BC321" s="332">
        <f t="array" ref="BC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36 et plus],MATCH(RationHivernaleBovinsAuPré&amp;$BB321,Règles_bovins[Ration]&amp;Règles_bovins[Aliment],0)),0),0)*IF(SUM(TotalBovinsAdultesAuPré)&gt;0,SUM(TotalBovinsAdultesAuPré),SUM(TotalBovinsAdultes))*35</f>
        <v>0</v>
      </c>
      <c r="BD321" s="332">
        <f t="array" ref="BD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24-36],MATCH(RationHivernaleBovinsAuPré&amp;$BB321,Règles_bovins[Ration]&amp;Règles_bovins[Aliment],0)),0),0)*IF(SUM(TotalBovins_24_36moisAuPré)&gt;0,SUM(TotalBovins_24_36moisAuPré),SUM(TotalBovins_24_36mois))*35</f>
        <v>0</v>
      </c>
      <c r="BE321" s="332">
        <f t="array" ref="BE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18-24],MATCH(RationHivernaleBovinsAuPré&amp;$BB321,Règles_bovins[Ration]&amp;Règles_bovins[Aliment],0)),0),0)*IF(SUM(TotalBovins_18_24moisAuPré)&gt;0,SUM(TotalBovins_18_24moisAuPré),SUM(TotalBovins_18_24mois))*35</f>
        <v>0</v>
      </c>
      <c r="BF321" s="332">
        <f t="array" ref="BF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12-18],MATCH(RationHivernaleBovinsAuPré&amp;$BB321,Règles_bovins[Ration]&amp;Règles_bovins[Aliment],0)),0),0)*IF(SUM(TotalBovins_12_18moisAuPré)&gt;0,SUM(TotalBovins_12_18moisAuPré),SUM(TotalBovins_12_18mois))*35</f>
        <v>0</v>
      </c>
      <c r="BG321" s="332">
        <f t="array" ref="BG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6-12],MATCH(RationHivernaleBovinsAuPré&amp;$BB321,Règles_bovins[Ration]&amp;Règles_bovins[Aliment],0)),0),0)*IF(SUM(TotalBovins_6_12moisAuPré)&gt;0,SUM(TotalBovins_6_12moisAuPré),SUM(TotalBovins_6_12mois))*35</f>
        <v>0</v>
      </c>
      <c r="BH321" s="332">
        <f t="array" ref="BH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3-6],MATCH(RationHivernaleBovinsAuPré&amp;$BB321,Règles_bovins[Ration]&amp;Règles_bovins[Aliment],0)),0),0)*IF(SUM(TotalBovins_3_6moisAuPré)&gt;0,SUM(TotalBovins_3_6moisAuPré),SUM(TotalBovins_3_6mois))*35</f>
        <v>0</v>
      </c>
      <c r="BI321" s="332">
        <f t="array" ref="BI321">IFERROR(IF(OR(AND(INDEX(Règles_bovins[Specificite],MATCH(RationHivernaleBovinsAuPré&amp;$BB321,Règles_bovins[Ration]&amp;Règles_bovins[Aliment],0))="s1",IF($BB321=Spécificité1Bovins,1)),
AND(INDEX(Règles_bovins[Specificite],MATCH(RationHivernaleBovinsAuPré&amp;$BB321,Règles_bovins[Ration]&amp;Règles_bovins[Aliment],0))="s2",IF($BB321=Spécificité2Bovins,1)),
INDEX(Règles_bovins[Specificite],MATCH(RationHivernaleBovinsAuPré&amp;$BB321,Règles_bovins[Ration]&amp;Règles_bovins[Aliment],0))="c"),
INDEX(Règles_bovins[Valeur 0-3],MATCH(RationHivernaleBovinsAuPré&amp;$BB321,Règles_bovins[Ration]&amp;Règles_bovins[Aliment],0)),0),0)*IF(SUM(TotalBovins_0_3moisAuPré)&gt;0,SUM(TotalBovins_0_3moisAuPré),SUM(TotalBovins_0_3mois))*35</f>
        <v>0</v>
      </c>
      <c r="BJ321" s="334">
        <f t="shared" si="17"/>
        <v>0</v>
      </c>
      <c r="BM321" s="276"/>
    </row>
    <row r="322" spans="1:65" ht="12.75" customHeight="1" x14ac:dyDescent="0.2">
      <c r="A322" s="276"/>
      <c r="B322" s="276"/>
      <c r="BB322" s="332">
        <f t="shared" si="18"/>
        <v>0</v>
      </c>
      <c r="BC322" s="332">
        <f t="array" ref="BC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36 et plus],MATCH(RationHivernaleBovinsAuPré&amp;$BB322,Règles_bovins[Ration]&amp;Règles_bovins[Aliment],0)),0),0)*IF(SUM(TotalBovinsAdultesAuPré)&gt;0,SUM(TotalBovinsAdultesAuPré),SUM(TotalBovinsAdultes))*35</f>
        <v>0</v>
      </c>
      <c r="BD322" s="332">
        <f t="array" ref="BD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24-36],MATCH(RationHivernaleBovinsAuPré&amp;$BB322,Règles_bovins[Ration]&amp;Règles_bovins[Aliment],0)),0),0)*IF(SUM(TotalBovins_24_36moisAuPré)&gt;0,SUM(TotalBovins_24_36moisAuPré),SUM(TotalBovins_24_36mois))*35</f>
        <v>0</v>
      </c>
      <c r="BE322" s="332">
        <f t="array" ref="BE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18-24],MATCH(RationHivernaleBovinsAuPré&amp;$BB322,Règles_bovins[Ration]&amp;Règles_bovins[Aliment],0)),0),0)*IF(SUM(TotalBovins_18_24moisAuPré)&gt;0,SUM(TotalBovins_18_24moisAuPré),SUM(TotalBovins_18_24mois))*35</f>
        <v>0</v>
      </c>
      <c r="BF322" s="332">
        <f t="array" ref="BF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12-18],MATCH(RationHivernaleBovinsAuPré&amp;$BB322,Règles_bovins[Ration]&amp;Règles_bovins[Aliment],0)),0),0)*IF(SUM(TotalBovins_12_18moisAuPré)&gt;0,SUM(TotalBovins_12_18moisAuPré),SUM(TotalBovins_12_18mois))*35</f>
        <v>0</v>
      </c>
      <c r="BG322" s="332">
        <f t="array" ref="BG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6-12],MATCH(RationHivernaleBovinsAuPré&amp;$BB322,Règles_bovins[Ration]&amp;Règles_bovins[Aliment],0)),0),0)*IF(SUM(TotalBovins_6_12moisAuPré)&gt;0,SUM(TotalBovins_6_12moisAuPré),SUM(TotalBovins_6_12mois))*35</f>
        <v>0</v>
      </c>
      <c r="BH322" s="332">
        <f t="array" ref="BH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3-6],MATCH(RationHivernaleBovinsAuPré&amp;$BB322,Règles_bovins[Ration]&amp;Règles_bovins[Aliment],0)),0),0)*IF(SUM(TotalBovins_3_6moisAuPré)&gt;0,SUM(TotalBovins_3_6moisAuPré),SUM(TotalBovins_3_6mois))*35</f>
        <v>0</v>
      </c>
      <c r="BI322" s="332">
        <f t="array" ref="BI322">IFERROR(IF(OR(AND(INDEX(Règles_bovins[Specificite],MATCH(RationHivernaleBovinsAuPré&amp;$BB322,Règles_bovins[Ration]&amp;Règles_bovins[Aliment],0))="s1",IF($BB322=Spécificité1Bovins,1)),
AND(INDEX(Règles_bovins[Specificite],MATCH(RationHivernaleBovinsAuPré&amp;$BB322,Règles_bovins[Ration]&amp;Règles_bovins[Aliment],0))="s2",IF($BB322=Spécificité2Bovins,1)),
INDEX(Règles_bovins[Specificite],MATCH(RationHivernaleBovinsAuPré&amp;$BB322,Règles_bovins[Ration]&amp;Règles_bovins[Aliment],0))="c"),
INDEX(Règles_bovins[Valeur 0-3],MATCH(RationHivernaleBovinsAuPré&amp;$BB322,Règles_bovins[Ration]&amp;Règles_bovins[Aliment],0)),0),0)*IF(SUM(TotalBovins_0_3moisAuPré)&gt;0,SUM(TotalBovins_0_3moisAuPré),SUM(TotalBovins_0_3mois))*35</f>
        <v>0</v>
      </c>
      <c r="BJ322" s="334">
        <f t="shared" si="17"/>
        <v>0</v>
      </c>
      <c r="BM322" s="276"/>
    </row>
    <row r="323" spans="1:65" ht="12.75" customHeight="1" x14ac:dyDescent="0.2">
      <c r="A323" s="276"/>
      <c r="B323" s="276"/>
      <c r="BB323" s="332">
        <f t="shared" si="18"/>
        <v>0</v>
      </c>
      <c r="BC323" s="332">
        <f t="array" ref="BC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36 et plus],MATCH(RationHivernaleBovinsAuPré&amp;$BB323,Règles_bovins[Ration]&amp;Règles_bovins[Aliment],0)),0),0)*IF(SUM(TotalBovinsAdultesAuPré)&gt;0,SUM(TotalBovinsAdultesAuPré),SUM(TotalBovinsAdultes))*35</f>
        <v>0</v>
      </c>
      <c r="BD323" s="332">
        <f t="array" ref="BD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24-36],MATCH(RationHivernaleBovinsAuPré&amp;$BB323,Règles_bovins[Ration]&amp;Règles_bovins[Aliment],0)),0),0)*IF(SUM(TotalBovins_24_36moisAuPré)&gt;0,SUM(TotalBovins_24_36moisAuPré),SUM(TotalBovins_24_36mois))*35</f>
        <v>0</v>
      </c>
      <c r="BE323" s="332">
        <f t="array" ref="BE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18-24],MATCH(RationHivernaleBovinsAuPré&amp;$BB323,Règles_bovins[Ration]&amp;Règles_bovins[Aliment],0)),0),0)*IF(SUM(TotalBovins_18_24moisAuPré)&gt;0,SUM(TotalBovins_18_24moisAuPré),SUM(TotalBovins_18_24mois))*35</f>
        <v>0</v>
      </c>
      <c r="BF323" s="332">
        <f t="array" ref="BF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12-18],MATCH(RationHivernaleBovinsAuPré&amp;$BB323,Règles_bovins[Ration]&amp;Règles_bovins[Aliment],0)),0),0)*IF(SUM(TotalBovins_12_18moisAuPré)&gt;0,SUM(TotalBovins_12_18moisAuPré),SUM(TotalBovins_12_18mois))*35</f>
        <v>0</v>
      </c>
      <c r="BG323" s="332">
        <f t="array" ref="BG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6-12],MATCH(RationHivernaleBovinsAuPré&amp;$BB323,Règles_bovins[Ration]&amp;Règles_bovins[Aliment],0)),0),0)*IF(SUM(TotalBovins_6_12moisAuPré)&gt;0,SUM(TotalBovins_6_12moisAuPré),SUM(TotalBovins_6_12mois))*35</f>
        <v>0</v>
      </c>
      <c r="BH323" s="332">
        <f t="array" ref="BH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3-6],MATCH(RationHivernaleBovinsAuPré&amp;$BB323,Règles_bovins[Ration]&amp;Règles_bovins[Aliment],0)),0),0)*IF(SUM(TotalBovins_3_6moisAuPré)&gt;0,SUM(TotalBovins_3_6moisAuPré),SUM(TotalBovins_3_6mois))*35</f>
        <v>0</v>
      </c>
      <c r="BI323" s="332">
        <f t="array" ref="BI323">IFERROR(IF(OR(AND(INDEX(Règles_bovins[Specificite],MATCH(RationHivernaleBovinsAuPré&amp;$BB323,Règles_bovins[Ration]&amp;Règles_bovins[Aliment],0))="s1",IF($BB323=Spécificité1Bovins,1)),
AND(INDEX(Règles_bovins[Specificite],MATCH(RationHivernaleBovinsAuPré&amp;$BB323,Règles_bovins[Ration]&amp;Règles_bovins[Aliment],0))="s2",IF($BB323=Spécificité2Bovins,1)),
INDEX(Règles_bovins[Specificite],MATCH(RationHivernaleBovinsAuPré&amp;$BB323,Règles_bovins[Ration]&amp;Règles_bovins[Aliment],0))="c"),
INDEX(Règles_bovins[Valeur 0-3],MATCH(RationHivernaleBovinsAuPré&amp;$BB323,Règles_bovins[Ration]&amp;Règles_bovins[Aliment],0)),0),0)*IF(SUM(TotalBovins_0_3moisAuPré)&gt;0,SUM(TotalBovins_0_3moisAuPré),SUM(TotalBovins_0_3mois))*35</f>
        <v>0</v>
      </c>
      <c r="BJ323" s="334">
        <f t="shared" si="17"/>
        <v>0</v>
      </c>
      <c r="BM323" s="276"/>
    </row>
    <row r="324" spans="1:65" ht="12.75" customHeight="1" x14ac:dyDescent="0.2">
      <c r="A324" s="276"/>
      <c r="B324" s="276"/>
      <c r="BM324" s="276"/>
    </row>
    <row r="325" spans="1:65" ht="12.75" customHeight="1" x14ac:dyDescent="0.2">
      <c r="A325" s="276"/>
      <c r="B325" s="276"/>
      <c r="BB325" s="229" t="s">
        <v>737</v>
      </c>
      <c r="BC325" s="229"/>
      <c r="BD325" s="229"/>
      <c r="BE325" s="229"/>
      <c r="BF325" s="229"/>
      <c r="BG325" s="229"/>
      <c r="BH325" s="229"/>
      <c r="BI325" s="229"/>
      <c r="BJ325" s="229"/>
      <c r="BM325" s="276"/>
    </row>
    <row r="326" spans="1:65" ht="12.75" customHeight="1" x14ac:dyDescent="0.2">
      <c r="A326" s="276"/>
      <c r="B326" s="276"/>
      <c r="BB326" s="376" t="s">
        <v>734</v>
      </c>
      <c r="BC326" s="377" t="s">
        <v>727</v>
      </c>
      <c r="BD326" s="377" t="s">
        <v>726</v>
      </c>
      <c r="BE326" s="377" t="s">
        <v>725</v>
      </c>
      <c r="BF326" s="377" t="s">
        <v>724</v>
      </c>
      <c r="BG326" s="377" t="s">
        <v>723</v>
      </c>
      <c r="BH326" s="377" t="s">
        <v>722</v>
      </c>
      <c r="BI326" s="377" t="s">
        <v>721</v>
      </c>
      <c r="BJ326" s="378" t="s">
        <v>728</v>
      </c>
      <c r="BM326" s="276"/>
    </row>
    <row r="327" spans="1:65" ht="12.75" customHeight="1" x14ac:dyDescent="0.2">
      <c r="A327" s="276"/>
      <c r="B327" s="276"/>
      <c r="BB327" s="379" t="s">
        <v>434</v>
      </c>
      <c r="BC327" s="380">
        <f t="array" ref="BC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36 et plus],MATCH(RationHivernaleBovinsAuPré&amp;Ration_hivernale_complète_bovins[aliment],Règles_bovins[Ration]&amp;Règles_bovins[Aliment],0)),0),0)*IF(SUM(TotalBovinsLaitièresEtAlalaitantes)=0,SUM(TotalBovinsAdultes)*35,SUM(TotalBovinsAdultesAuPré)*35),0)</f>
        <v>0</v>
      </c>
      <c r="BD327" s="380">
        <f t="array" ref="BD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24-36],MATCH(RationHivernaleBovinsAuPré&amp;Ration_hivernale_complète_bovins[aliment],Règles_bovins[Ration]&amp;Règles_bovins[Aliment],0)),0),0)*IF(SUM(TotalBovinsLaitièresEtAlalaitantes)=0,SUM(TotalBovins_24_36mois)*35,SUM(TotalBovins_24_36moisAuPré)*35),0)</f>
        <v>0</v>
      </c>
      <c r="BE327" s="380">
        <f t="array" ref="BE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18-24],MATCH(RationHivernaleBovinsAuPré&amp;Ration_hivernale_complète_bovins[aliment],Règles_bovins[Ration]&amp;Règles_bovins[Aliment],0)),0),0)*IF(SUM(TotalBovinsLaitièresEtAlalaitantes)=0,SUM(TotalBovins_18_24mois)*35,SUM(TotalBovins_18_24moisAuPré)*35),0)</f>
        <v>0</v>
      </c>
      <c r="BF327" s="380">
        <f t="array" ref="BF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12-18],MATCH(RationHivernaleBovinsAuPré&amp;Ration_hivernale_complète_bovins[aliment],Règles_bovins[Ration]&amp;Règles_bovins[Aliment],0)),0),0)*IF(SUM(TotalBovinsLaitièresEtAlalaitantes)=0,SUM(TotalBovins_12_18mois)*35,SUM(TotalBovins_12_18moisAuPré)*35),0)</f>
        <v>0</v>
      </c>
      <c r="BG327" s="380">
        <f t="array" ref="BG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6-12],MATCH(RationHivernaleBovinsAuPré&amp;Ration_hivernale_complète_bovins[aliment],Règles_bovins[Ration]&amp;Règles_bovins[Aliment],0)),0),0)*IF(SUM(TotalBovinsLaitièresEtAlalaitantes)=0,SUM(TotalBovins_6_12mois)*35,SUM(TotalBovins_6_12moisAuPré)*35),0)</f>
        <v>0</v>
      </c>
      <c r="BH327" s="380">
        <f t="array" ref="BH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3-6],MATCH(RationHivernaleBovinsAuPré&amp;Ration_hivernale_complète_bovins[aliment],Règles_bovins[Ration]&amp;Règles_bovins[Aliment],0)),0),0)*IF(SUM(TotalBovinsLaitièresEtAlalaitantes)=0,SUM(TotalBovins_3_6mois)*35,SUM(TotalBovins_3_6moisAuPré)*35),0)</f>
        <v>0</v>
      </c>
      <c r="BI327" s="380">
        <f t="array" ref="BI327">IF(ChoixRationHivernaleComplèteBovins=OUI,IFERROR(IF(OR(AND(INDEX(Règles_bovins[Specificite],MATCH(RationHivernaleBovinsAuPré&amp;Ration_hivernale_complète_bovins[aliment],Règles_bovins[Ration]&amp;Règles_bovins[Aliment],0))="s1",IF(Ration_hivernale_complète_bovins[aliment]=Spécificité1Bovins,1)),
AND(INDEX(Règles_bovins[Specificite],MATCH(RationHivernaleBovinsAuPré&amp;Ration_hivernale_complète_bovins[aliment],Règles_bovins[Ration]&amp;Règles_bovins[Aliment],0))="s2",IF(Ration_hivernale_complète_bovins[aliment]=Spécificité2Bovins,1)),
INDEX(Règles_bovins[Specificite],MATCH(RationHivernaleBovinsAuPré&amp;Ration_hivernale_complète_bovins[aliment],Règles_bovins[Ration]&amp;Règles_bovins[Aliment],0))="c",INDEX(Règles_bovins[Specificite],MATCH(RationHivernaleBovinsAuPré&amp;Ration_hivernale_complète_bovins[aliment],Règles_bovins[Ration]&amp;Règles_bovins[Aliment],0))="complet"),
INDEX(Règles_bovins[Valeur 0-3],MATCH(RationHivernaleBovinsAuPré&amp;Ration_hivernale_complète_bovins[aliment],Règles_bovins[Ration]&amp;Règles_bovins[Aliment],0)),0),0)*IF(SUM(TotalBovinsLaitièresEtAlalaitantes)=0,SUM(TotalBovins_0_3mois)*35,SUM(TotalBovins_0_3moisAuPré)*35),0)</f>
        <v>0</v>
      </c>
      <c r="BJ327" s="381">
        <f>SUM(Ration_hivernale_complète_bovins[[Val 36 et plus]:[Val 0-3]])</f>
        <v>0</v>
      </c>
      <c r="BM327" s="276"/>
    </row>
    <row r="328" spans="1:65" ht="12.75" customHeight="1" x14ac:dyDescent="0.2">
      <c r="A328" s="276"/>
      <c r="B328" s="276"/>
      <c r="BB328" s="229"/>
      <c r="BC328" s="229"/>
      <c r="BD328" s="229"/>
      <c r="BE328" s="229"/>
      <c r="BF328" s="229"/>
      <c r="BG328" s="229"/>
      <c r="BH328" s="229"/>
      <c r="BI328" s="229"/>
      <c r="BJ328" s="229"/>
    </row>
    <row r="329" spans="1:65" ht="12.75" customHeight="1" x14ac:dyDescent="0.2">
      <c r="A329" s="276"/>
      <c r="B329" s="276"/>
    </row>
    <row r="330" spans="1:65" ht="12.75" customHeight="1" x14ac:dyDescent="0.2">
      <c r="A330" s="276"/>
      <c r="B330" s="276"/>
      <c r="BB330" s="329" t="s">
        <v>796</v>
      </c>
      <c r="BC330" s="330"/>
      <c r="BD330" s="229"/>
      <c r="BG330" s="329" t="s">
        <v>797</v>
      </c>
      <c r="BH330" s="330"/>
    </row>
    <row r="331" spans="1:65" ht="12.75" customHeight="1" x14ac:dyDescent="0.2">
      <c r="A331" s="276"/>
      <c r="B331" s="276"/>
      <c r="BB331" s="382" t="s">
        <v>754</v>
      </c>
      <c r="BC331" s="388" t="s">
        <v>758</v>
      </c>
      <c r="BD331" s="378" t="s">
        <v>759</v>
      </c>
      <c r="BG331" s="382" t="s">
        <v>754</v>
      </c>
      <c r="BH331" s="383" t="s">
        <v>755</v>
      </c>
    </row>
    <row r="332" spans="1:65" ht="12.75" customHeight="1" x14ac:dyDescent="0.2">
      <c r="A332" s="276"/>
      <c r="B332" s="276"/>
      <c r="BB332" s="384" t="s">
        <v>446</v>
      </c>
      <c r="BC332" s="389">
        <f>BD30*TotalTaureaux*SUM(AA76:AA100)</f>
        <v>1800</v>
      </c>
      <c r="BD332" s="390">
        <f>BD30*TotalTaureauxRacesLaitières*SUM(AA76:AA100)</f>
        <v>0</v>
      </c>
      <c r="BG332" s="384" t="s">
        <v>446</v>
      </c>
      <c r="BH332" s="385">
        <f>BG30*TotalTaureaux*SUM(AA76:AA100)</f>
        <v>4000</v>
      </c>
    </row>
    <row r="333" spans="1:65" ht="12.75" customHeight="1" x14ac:dyDescent="0.2">
      <c r="A333" s="276"/>
      <c r="B333" s="276"/>
      <c r="BB333" s="384" t="s">
        <v>447</v>
      </c>
      <c r="BC333" s="389">
        <f>BD31*TotalVaches*SUM(AA76:AA100)</f>
        <v>1440</v>
      </c>
      <c r="BD333" s="390">
        <f>BD31*TotalVachesRacesLaitières*SUM(AA76:AA100)</f>
        <v>0</v>
      </c>
      <c r="BG333" s="384" t="s">
        <v>447</v>
      </c>
      <c r="BH333" s="385">
        <f>BG31*TotalVaches*SUM(AA76:AA100)</f>
        <v>4000</v>
      </c>
    </row>
    <row r="334" spans="1:65" ht="12.75" customHeight="1" x14ac:dyDescent="0.2">
      <c r="A334" s="276"/>
      <c r="B334" s="276"/>
      <c r="BB334" s="384" t="s">
        <v>448</v>
      </c>
      <c r="BC334" s="389">
        <f>BD32*SUM(TotalJeuneBovin)*SUM(AA76:AA100)</f>
        <v>5760</v>
      </c>
      <c r="BD334" s="390">
        <f>BD32*SUM(TotalJeunesBovinsRacesLaitières)*SUM(AA76:AA100)</f>
        <v>0</v>
      </c>
      <c r="BG334" s="384" t="s">
        <v>448</v>
      </c>
      <c r="BH334" s="385">
        <f>BG32*SUM(TotalJeuneBovin)*SUM(AA76:AA100)</f>
        <v>18360</v>
      </c>
    </row>
    <row r="335" spans="1:65" ht="12.75" customHeight="1" x14ac:dyDescent="0.2">
      <c r="A335" s="276"/>
      <c r="B335" s="276"/>
      <c r="BB335" s="384" t="s">
        <v>449</v>
      </c>
      <c r="BC335" s="389"/>
      <c r="BD335" s="390"/>
      <c r="BG335" s="384" t="s">
        <v>449</v>
      </c>
      <c r="BH335" s="385"/>
    </row>
    <row r="336" spans="1:65" ht="12.75" customHeight="1" x14ac:dyDescent="0.2">
      <c r="A336" s="276"/>
      <c r="B336" s="276"/>
      <c r="BB336" s="384" t="s">
        <v>450</v>
      </c>
      <c r="BC336" s="389">
        <f>BD34*SUM(TotalVeaux)*SUM(AA76:AA100)</f>
        <v>3600</v>
      </c>
      <c r="BD336" s="390">
        <f>BD34*SUM(TotalVeauxRacesLaitières)*SUM(AA76:AA100)</f>
        <v>0</v>
      </c>
      <c r="BG336" s="384" t="s">
        <v>450</v>
      </c>
      <c r="BH336" s="385">
        <f>BG34*SUM(TotalVeaux)*SUM(AA76:AA100)</f>
        <v>7200</v>
      </c>
    </row>
    <row r="337" spans="1:60" ht="12.75" customHeight="1" x14ac:dyDescent="0.2">
      <c r="A337" s="276"/>
      <c r="B337" s="276"/>
      <c r="BB337" s="386" t="s">
        <v>757</v>
      </c>
      <c r="BC337" s="391">
        <f>IF(AND(ChoixPaillageBovins=OUI,OR(ChoixBovinsPréHiver=NON,ChoixBovinsPréHiver="")),SUBTOTAL(109,LitièreBovins[Litière tout bovins]),0)</f>
        <v>0</v>
      </c>
      <c r="BD337" s="387">
        <f>IF(AND(ChoixPaillageBovins=OUI,ChoixBovinsPréHiver=OUI),SUBTOTAL(109,LitièreBovins[litière races laitières]),0)</f>
        <v>0</v>
      </c>
      <c r="BG337" s="386" t="s">
        <v>757</v>
      </c>
      <c r="BH337" s="387">
        <f>SUBTOTAL(109,LisierBovins[Lisier])</f>
        <v>33560</v>
      </c>
    </row>
    <row r="338" spans="1:60" ht="12.75" customHeight="1" x14ac:dyDescent="0.2">
      <c r="A338" s="276"/>
      <c r="B338" s="276"/>
    </row>
    <row r="339" spans="1:60" ht="12.75" customHeight="1" x14ac:dyDescent="0.2">
      <c r="A339" s="276"/>
      <c r="B339" s="276"/>
    </row>
    <row r="340" spans="1:60" ht="12.75" customHeight="1" x14ac:dyDescent="0.2">
      <c r="A340" s="276"/>
      <c r="B340" s="276"/>
      <c r="BB340" s="229" t="s">
        <v>887</v>
      </c>
      <c r="BC340" s="229"/>
      <c r="BD340" s="229"/>
      <c r="BE340" s="229"/>
    </row>
    <row r="341" spans="1:60" ht="12.75" customHeight="1" x14ac:dyDescent="0.2">
      <c r="A341" s="276"/>
      <c r="B341" s="276"/>
      <c r="BB341" s="331" t="s">
        <v>734</v>
      </c>
      <c r="BC341" s="335" t="s">
        <v>884</v>
      </c>
      <c r="BD341" s="335" t="s">
        <v>885</v>
      </c>
      <c r="BE341" s="335" t="s">
        <v>886</v>
      </c>
    </row>
    <row r="342" spans="1:60" ht="12.75" customHeight="1" x14ac:dyDescent="0.2">
      <c r="A342" s="276"/>
      <c r="B342" s="276"/>
      <c r="BB342" s="332" t="str">
        <f>BB194</f>
        <v>Avoine</v>
      </c>
      <c r="BC342" s="333">
        <f t="array" ref="BC342">SUM((IF(QualitéAlimentsVeauxMâles_0_3_mois=BONNE,VLOOKUP("Avoine",AlimentsRationBovinsMâles,8,FALSE),0)+(IF(QualitéAlimentsVeauxFemelles_0_3_mois=BONNE,VLOOKUP("Avoine",AlimentsRationBovinsFemelles,8,FALSE),0)+(IF(QualitéAlimentsVeauxMâles_3_6_mois=BONNE,VLOOKUP("Avoine",AlimentsRationBovinsMâles,7,FALSE),0)+(IF(QualitéAlimentsVeauxFemelles_3_6_mois=BONNE,VLOOKUP("Avoine",AlimentsRationBovinsFemelles,7,FALSE),0)+(IF(QualitéAlimentsVeauxMâles_6_12_mois=BONNE,VLOOKUP("Avoine",AlimentsRationBovinsMâles,6,FALSE),0)+(IF(QualitéAlimentsVeauxFemelles_6_12_mois=BONNE,VLOOKUP("Avoine",AlimentsRationBovinsFemelles,6,FALSE),0)+(IF(QualitéAlimentsTaurillons_12_18_mois=BONNE,VLOOKUP("Avoine",AlimentsRationBovinsMâles,5,FALSE),0)+(IF(QualitéAlimentsGénisses_12_18_mois=BONNE,VLOOKUP("Avoine",AlimentsRationBovinsFemelles,5,FALSE),0)+(IF(QualitéAlimentsTaurillons_18_24_mois=BONNE,VLOOKUP("Avoine",AlimentsRationBovinsMâles,4,FALSE),0)+(IF(QualitéAlimentsGénisses_18_24_mois=BONNE,VLOOKUP("Avoine",AlimentsRationBovinsFemelles,4,FALSE),0)+(IF(QualitéAlimentsTaurillons_24_36_mois=BONNE,VLOOKUP("Avoine",AlimentsRationBovinsMâles,3,FALSE),0)+(IF(QualitéAlimentsGénisses_24_36_mois=BONNE,VLOOKUP("Avoine",AlimentsRationBovinsFemelles,3,FALSE),0)+(IF(QualitéAlimentsTaureaux=BONNE,VLOOKUP("Avoine",AlimentsRationBovinsMâles,2,FALSE),0)+(IF(QualitéAlimentsVaches=BONNE,VLOOKUP("Avoine",AlimentsRationBovinsFemelles,2,FALSE),0))))))))))))))))</f>
        <v>0</v>
      </c>
      <c r="BD342" s="333">
        <f t="array" ref="BD342">SUM((IF(QualitéAlimentsVeauxMâles_0_3_mois=MOYENNE,VLOOKUP("Avoine",AlimentsRationBovinsMâles,8,FALSE),0)+(IF(QualitéAlimentsVeauxFemelles_0_3_mois=MOYENNE,VLOOKUP("Avoine",AlimentsRationBovinsFemelles,8,FALSE),0)+(IF(QualitéAlimentsVeauxMâles_3_6_mois=MOYENNE,VLOOKUP("Avoine",AlimentsRationBovinsMâles,7,FALSE),0)+(IF(QualitéAlimentsVeauxFemelles_3_6_mois=MOYENNE,VLOOKUP("Avoine",AlimentsRationBovinsFemelles,7,FALSE),0)+(IF(QualitéAlimentsVeauxMâles_6_12_mois=MOYENNE,VLOOKUP("Avoine",AlimentsRationBovinsMâles,6,FALSE),0)+(IF(QualitéAlimentsVeauxFemelles_6_12_mois=MOYENNE,VLOOKUP("Avoine",AlimentsRationBovinsFemelles,6,FALSE),0)+(IF(QualitéAlimentsTaurillons_12_18_mois=MOYENNE,VLOOKUP("Avoine",AlimentsRationBovinsMâles,5,FALSE),0)+(IF(QualitéAlimentsGénisses_12_18_mois=MOYENNE,VLOOKUP("Avoine",AlimentsRationBovinsFemelles,5,FALSE),0)+(IF(QualitéAlimentsTaurillons_18_24_mois=MOYENNE,VLOOKUP("Avoine",AlimentsRationBovinsMâles,4,FALSE),0)+(IF(QualitéAlimentsGénisses_18_24_mois=MOYENNE,VLOOKUP("Avoine",AlimentsRationBovinsFemelles,4,FALSE),0)+(IF(QualitéAlimentsTaurillons_24_36_mois=MOYENNE,VLOOKUP("Avoine",AlimentsRationBovinsMâles,3,FALSE),0)+(IF(QualitéAlimentsGénisses_24_36_mois=MOYENNE,VLOOKUP("Avoine",AlimentsRationBovinsFemelles,3,FALSE),0)+(IF(QualitéAlimentsTaureaux=MOYENNE,VLOOKUP("Avoine",AlimentsRationBovinsMâles,2,FALSE),0)+(IF(QualitéAlimentsVaches=MOYENNE,VLOOKUP("Avoine",AlimentsRationBovinsFemelles,2,FALSE),0))))))))))))))))</f>
        <v>0</v>
      </c>
      <c r="BE342" s="333">
        <f t="array" ref="BE342">SUM((IF(QualitéAlimentsVeauxMâles_0_3_mois=MAUVAISE,VLOOKUP("Avoine",AlimentsRationBovinsMâles,8,FALSE),0)+(IF(QualitéAlimentsVeauxFemelles_0_3_mois=MAUVAISE,VLOOKUP("Avoine",AlimentsRationBovinsFemelles,8,FALSE),0)+(IF(QualitéAlimentsVeauxMâles_3_6_mois=MAUVAISE,VLOOKUP("Avoine",AlimentsRationBovinsMâles,7,FALSE),0)+(IF(QualitéAlimentsVeauxFemelles_3_6_mois=MAUVAISE,VLOOKUP("Avoine",AlimentsRationBovinsFemelles,7,FALSE),0)+(IF(QualitéAlimentsVeauxMâles_6_12_mois=MAUVAISE,VLOOKUP("Avoine",AlimentsRationBovinsMâles,6,FALSE),0)+(IF(QualitéAlimentsVeauxFemelles_6_12_mois=MAUVAISE,VLOOKUP("Avoine",AlimentsRationBovinsFemelles,6,FALSE),0)+(IF(QualitéAlimentsTaurillons_12_18_mois=MAUVAISE,VLOOKUP("Avoine",AlimentsRationBovinsMâles,5,FALSE),0)+(IF(QualitéAlimentsGénisses_12_18_mois=MAUVAISE,VLOOKUP("Avoine",AlimentsRationBovinsFemelles,5,FALSE),0)+(IF(QualitéAlimentsTaurillons_18_24_mois=MAUVAISE,VLOOKUP("Avoine",AlimentsRationBovinsMâles,4,FALSE),0)+(IF(QualitéAlimentsGénisses_18_24_mois=MAUVAISE,VLOOKUP("Avoine",AlimentsRationBovinsFemelles,4,FALSE),0)+(IF(QualitéAlimentsTaurillons_24_36_mois=MAUVAISE,VLOOKUP("Avoine",AlimentsRationBovinsMâles,3,FALSE),0)+(IF(QualitéAlimentsGénisses_24_36_mois=MAUVAISE,VLOOKUP("Avoine",AlimentsRationBovinsFemelles,3,FALSE),0)+(IF(QualitéAlimentsTaureaux=MAUVAISE,VLOOKUP("Avoine",AlimentsRationBovinsMâles,2,FALSE),0)+(IF(QualitéAlimentsVaches=MAUVAISE,VLOOKUP("Avoine",AlimentsRationBovinsFemelles,2,FALSE),0))))))))))))))))</f>
        <v>0</v>
      </c>
    </row>
    <row r="343" spans="1:60" ht="12.75" customHeight="1" x14ac:dyDescent="0.2">
      <c r="A343" s="276"/>
      <c r="B343" s="276"/>
      <c r="BB343" s="332" t="str">
        <f t="shared" ref="BB343:BB380" si="19">BB195</f>
        <v>Betterave</v>
      </c>
      <c r="BC343" s="333">
        <f t="array" ref="BC343">SUM((IF(QualitéAlimentsVeauxMâles_0_3_mois=BONNE,VLOOKUP("Betterave",AlimentsRationBovinsMâles,8,FALSE),0)+(IF(QualitéAlimentsVeauxFemelles_0_3_mois=BONNE,VLOOKUP("Betterave",AlimentsRationBovinsFemelles,8,FALSE),0)+(IF(QualitéAlimentsVeauxMâles_3_6_mois=BONNE,VLOOKUP("Betterave",AlimentsRationBovinsMâles,7,FALSE),0)+(IF(QualitéAlimentsVeauxFemelles_3_6_mois=BONNE,VLOOKUP("Betterave",AlimentsRationBovinsFemelles,7,FALSE),0)+(IF(QualitéAlimentsVeauxMâles_6_12_mois=BONNE,VLOOKUP("Betterave",AlimentsRationBovinsMâles,6,FALSE),0)+(IF(QualitéAlimentsVeauxFemelles_6_12_mois=BONNE,VLOOKUP("Betterave",AlimentsRationBovinsFemelles,6,FALSE),0)+(IF(QualitéAlimentsTaurillons_12_18_mois=BONNE,VLOOKUP("Betterave",AlimentsRationBovinsMâles,5,FALSE),0)+(IF(QualitéAlimentsGénisses_12_18_mois=BONNE,VLOOKUP("Betterave",AlimentsRationBovinsFemelles,5,FALSE),0)+(IF(QualitéAlimentsTaurillons_18_24_mois=BONNE,VLOOKUP("Betterave",AlimentsRationBovinsMâles,4,FALSE),0)+(IF(QualitéAlimentsGénisses_18_24_mois=BONNE,VLOOKUP("Betterave",AlimentsRationBovinsFemelles,4,FALSE),0)+(IF(QualitéAlimentsTaurillons_24_36_mois=BONNE,VLOOKUP("Betterave",AlimentsRationBovinsMâles,3,FALSE),0)+(IF(QualitéAlimentsGénisses_24_36_mois=BONNE,VLOOKUP("Betterave",AlimentsRationBovinsFemelles,3,FALSE),0)+(IF(QualitéAlimentsTaureaux=BONNE,VLOOKUP("Betterave",AlimentsRationBovinsMâles,2,FALSE),0)+(IF(QualitéAlimentsVaches=BONNE,VLOOKUP("Betterave",AlimentsRationBovinsFemelles,2,FALSE),0))))))))))))))))</f>
        <v>0</v>
      </c>
      <c r="BD343" s="333">
        <f t="array" ref="BD343">SUM((IF(QualitéAlimentsVeauxMâles_0_3_mois=MOYENNE,VLOOKUP("Betterave",AlimentsRationBovinsMâles,8,FALSE),0)+(IF(QualitéAlimentsVeauxFemelles_0_3_mois=MOYENNE,VLOOKUP("Betterave",AlimentsRationBovinsFemelles,8,FALSE),0)+(IF(QualitéAlimentsVeauxMâles_3_6_mois=MOYENNE,VLOOKUP("Betterave",AlimentsRationBovinsMâles,7,FALSE),0)+(IF(QualitéAlimentsVeauxFemelles_3_6_mois=MOYENNE,VLOOKUP("Betterave",AlimentsRationBovinsFemelles,7,FALSE),0)+(IF(QualitéAlimentsVeauxMâles_6_12_mois=MOYENNE,VLOOKUP("Betterave",AlimentsRationBovinsMâles,6,FALSE),0)+(IF(QualitéAlimentsVeauxFemelles_6_12_mois=MOYENNE,VLOOKUP("Betterave",AlimentsRationBovinsFemelles,6,FALSE),0)+(IF(QualitéAlimentsTaurillons_12_18_mois=MOYENNE,VLOOKUP("Betterave",AlimentsRationBovinsMâles,5,FALSE),0)+(IF(QualitéAlimentsGénisses_12_18_mois=MOYENNE,VLOOKUP("Betterave",AlimentsRationBovinsFemelles,5,FALSE),0)+(IF(QualitéAlimentsTaurillons_18_24_mois=MOYENNE,VLOOKUP("Betterave",AlimentsRationBovinsMâles,4,FALSE),0)+(IF(QualitéAlimentsGénisses_18_24_mois=MOYENNE,VLOOKUP("Betterave",AlimentsRationBovinsFemelles,4,FALSE),0)+(IF(QualitéAlimentsTaurillons_24_36_mois=MOYENNE,VLOOKUP("Betterave",AlimentsRationBovinsMâles,3,FALSE),0)+(IF(QualitéAlimentsGénisses_24_36_mois=MOYENNE,VLOOKUP("Betterave",AlimentsRationBovinsFemelles,3,FALSE),0)+(IF(QualitéAlimentsTaureaux=MOYENNE,VLOOKUP("Betterave",AlimentsRationBovinsMâles,2,FALSE),0)+(IF(QualitéAlimentsVaches=MOYENNE,VLOOKUP("Betterave",AlimentsRationBovinsFemelles,2,FALSE),0))))))))))))))))</f>
        <v>0</v>
      </c>
      <c r="BE343" s="333">
        <f t="array" ref="BE343">SUM((IF(QualitéAlimentsVeauxMâles_0_3_mois=MAUVAISE,VLOOKUP("Betterave",AlimentsRationBovinsMâles,8,FALSE),0)+(IF(QualitéAlimentsVeauxFemelles_0_3_mois=MAUVAISE,VLOOKUP("Betterave",AlimentsRationBovinsFemelles,8,FALSE),0)+(IF(QualitéAlimentsVeauxMâles_3_6_mois=MAUVAISE,VLOOKUP("Betterave",AlimentsRationBovinsMâles,7,FALSE),0)+(IF(QualitéAlimentsVeauxFemelles_3_6_mois=MAUVAISE,VLOOKUP("Betterave",AlimentsRationBovinsFemelles,7,FALSE),0)+(IF(QualitéAlimentsVeauxMâles_6_12_mois=MAUVAISE,VLOOKUP("Betterave",AlimentsRationBovinsMâles,6,FALSE),0)+(IF(QualitéAlimentsVeauxFemelles_6_12_mois=MAUVAISE,VLOOKUP("Betterave",AlimentsRationBovinsFemelles,6,FALSE),0)+(IF(QualitéAlimentsTaurillons_12_18_mois=MAUVAISE,VLOOKUP("Betterave",AlimentsRationBovinsMâles,5,FALSE),0)+(IF(QualitéAlimentsGénisses_12_18_mois=MAUVAISE,VLOOKUP("Betterave",AlimentsRationBovinsFemelles,5,FALSE),0)+(IF(QualitéAlimentsTaurillons_18_24_mois=MAUVAISE,VLOOKUP("Betterave",AlimentsRationBovinsMâles,4,FALSE),0)+(IF(QualitéAlimentsGénisses_18_24_mois=MAUVAISE,VLOOKUP("Betterave",AlimentsRationBovinsFemelles,4,FALSE),0)+(IF(QualitéAlimentsTaurillons_24_36_mois=MAUVAISE,VLOOKUP("Betterave",AlimentsRationBovinsMâles,3,FALSE),0)+(IF(QualitéAlimentsGénisses_24_36_mois=MAUVAISE,VLOOKUP("Betterave",AlimentsRationBovinsFemelles,3,FALSE),0)+(IF(QualitéAlimentsTaureaux=MAUVAISE,VLOOKUP("Betterave",AlimentsRationBovinsMâles,2,FALSE),0)+(IF(QualitéAlimentsVaches=MAUVAISE,VLOOKUP("Betterave",AlimentsRationBovinsFemelles,2,FALSE),0))))))))))))))))</f>
        <v>0</v>
      </c>
    </row>
    <row r="344" spans="1:60" ht="12.75" customHeight="1" x14ac:dyDescent="0.2">
      <c r="A344" s="276"/>
      <c r="B344" s="276"/>
      <c r="BB344" s="332" t="str">
        <f t="shared" si="19"/>
        <v>Blé</v>
      </c>
      <c r="BC344" s="333">
        <f t="array" ref="BC344">SUM((IF(QualitéAlimentsVeauxMâles_0_3_mois=BONNE,VLOOKUP("Blé",AlimentsRationBovinsMâles,8,FALSE),0)+(IF(QualitéAlimentsVeauxFemelles_0_3_mois=BONNE,VLOOKUP("Blé",AlimentsRationBovinsFemelles,8,FALSE),0)+(IF(QualitéAlimentsVeauxMâles_3_6_mois=BONNE,VLOOKUP("Blé",AlimentsRationBovinsMâles,7,FALSE),0)+(IF(QualitéAlimentsVeauxFemelles_3_6_mois=BONNE,VLOOKUP("Blé",AlimentsRationBovinsFemelles,7,FALSE),0)+(IF(QualitéAlimentsVeauxMâles_6_12_mois=BONNE,VLOOKUP("Blé",AlimentsRationBovinsMâles,6,FALSE),0)+(IF(QualitéAlimentsVeauxFemelles_6_12_mois=BONNE,VLOOKUP("Blé",AlimentsRationBovinsFemelles,6,FALSE),0)+(IF(QualitéAlimentsTaurillons_12_18_mois=BONNE,VLOOKUP("Blé",AlimentsRationBovinsMâles,5,FALSE),0)+(IF(QualitéAlimentsGénisses_12_18_mois=BONNE,VLOOKUP("Blé",AlimentsRationBovinsFemelles,5,FALSE),0)+(IF(QualitéAlimentsTaurillons_18_24_mois=BONNE,VLOOKUP("Blé",AlimentsRationBovinsMâles,4,FALSE),0)+(IF(QualitéAlimentsGénisses_18_24_mois=BONNE,VLOOKUP("Blé",AlimentsRationBovinsFemelles,4,FALSE),0)+(IF(QualitéAlimentsTaurillons_24_36_mois=BONNE,VLOOKUP("Blé",AlimentsRationBovinsMâles,3,FALSE),0)+(IF(QualitéAlimentsGénisses_24_36_mois=BONNE,VLOOKUP("Blé",AlimentsRationBovinsFemelles,3,FALSE),0)+(IF(QualitéAlimentsTaureaux=BONNE,VLOOKUP("Blé",AlimentsRationBovinsMâles,2,FALSE),0)+(IF(QualitéAlimentsVaches=BONNE,VLOOKUP("Blé",AlimentsRationBovinsFemelles,2,FALSE),0))))))))))))))))</f>
        <v>0</v>
      </c>
      <c r="BD344" s="333">
        <f t="array" ref="BD344">SUM((IF(QualitéAlimentsVeauxMâles_0_3_mois=MOYENNE,VLOOKUP("Blé",AlimentsRationBovinsMâles,8,FALSE),0)+(IF(QualitéAlimentsVeauxFemelles_0_3_mois=MOYENNE,VLOOKUP("Blé",AlimentsRationBovinsFemelles,8,FALSE),0)+(IF(QualitéAlimentsVeauxMâles_3_6_mois=MOYENNE,VLOOKUP("Blé",AlimentsRationBovinsMâles,7,FALSE),0)+(IF(QualitéAlimentsVeauxFemelles_3_6_mois=MOYENNE,VLOOKUP("Blé",AlimentsRationBovinsFemelles,7,FALSE),0)+(IF(QualitéAlimentsVeauxMâles_6_12_mois=MOYENNE,VLOOKUP("Blé",AlimentsRationBovinsMâles,6,FALSE),0)+(IF(QualitéAlimentsVeauxFemelles_6_12_mois=MOYENNE,VLOOKUP("Blé",AlimentsRationBovinsFemelles,6,FALSE),0)+(IF(QualitéAlimentsTaurillons_12_18_mois=MOYENNE,VLOOKUP("Blé",AlimentsRationBovinsMâles,5,FALSE),0)+(IF(QualitéAlimentsGénisses_12_18_mois=MOYENNE,VLOOKUP("Blé",AlimentsRationBovinsFemelles,5,FALSE),0)+(IF(QualitéAlimentsTaurillons_18_24_mois=MOYENNE,VLOOKUP("Blé",AlimentsRationBovinsMâles,4,FALSE),0)+(IF(QualitéAlimentsGénisses_18_24_mois=MOYENNE,VLOOKUP("Blé",AlimentsRationBovinsFemelles,4,FALSE),0)+(IF(QualitéAlimentsTaurillons_24_36_mois=MOYENNE,VLOOKUP("Blé",AlimentsRationBovinsMâles,3,FALSE),0)+(IF(QualitéAlimentsGénisses_24_36_mois=MOYENNE,VLOOKUP("Blé",AlimentsRationBovinsFemelles,3,FALSE),0)+(IF(QualitéAlimentsTaureaux=MOYENNE,VLOOKUP("Blé",AlimentsRationBovinsMâles,2,FALSE),0)+(IF(QualitéAlimentsVaches=MOYENNE,VLOOKUP("Blé",AlimentsRationBovinsFemelles,2,FALSE),0))))))))))))))))</f>
        <v>0</v>
      </c>
      <c r="BE344" s="333">
        <f t="array" ref="BE344">SUM((IF(QualitéAlimentsVeauxMâles_0_3_mois=MAUVAISE,VLOOKUP("Blé",AlimentsRationBovinsMâles,8,FALSE),0)+(IF(QualitéAlimentsVeauxFemelles_0_3_mois=MAUVAISE,VLOOKUP("Blé",AlimentsRationBovinsFemelles,8,FALSE),0)+(IF(QualitéAlimentsVeauxMâles_3_6_mois=MAUVAISE,VLOOKUP("Blé",AlimentsRationBovinsMâles,7,FALSE),0)+(IF(QualitéAlimentsVeauxFemelles_3_6_mois=MAUVAISE,VLOOKUP("Blé",AlimentsRationBovinsFemelles,7,FALSE),0)+(IF(QualitéAlimentsVeauxMâles_6_12_mois=MAUVAISE,VLOOKUP("Blé",AlimentsRationBovinsMâles,6,FALSE),0)+(IF(QualitéAlimentsVeauxFemelles_6_12_mois=MAUVAISE,VLOOKUP("Blé",AlimentsRationBovinsFemelles,6,FALSE),0)+(IF(QualitéAlimentsTaurillons_12_18_mois=MAUVAISE,VLOOKUP("Blé",AlimentsRationBovinsMâles,5,FALSE),0)+(IF(QualitéAlimentsGénisses_12_18_mois=MAUVAISE,VLOOKUP("Blé",AlimentsRationBovinsFemelles,5,FALSE),0)+(IF(QualitéAlimentsTaurillons_18_24_mois=MAUVAISE,VLOOKUP("Blé",AlimentsRationBovinsMâles,4,FALSE),0)+(IF(QualitéAlimentsGénisses_18_24_mois=MAUVAISE,VLOOKUP("Blé",AlimentsRationBovinsFemelles,4,FALSE),0)+(IF(QualitéAlimentsTaurillons_24_36_mois=MAUVAISE,VLOOKUP("Blé",AlimentsRationBovinsMâles,3,FALSE),0)+(IF(QualitéAlimentsGénisses_24_36_mois=MAUVAISE,VLOOKUP("Blé",AlimentsRationBovinsFemelles,3,FALSE),0)+(IF(QualitéAlimentsTaureaux=MAUVAISE,VLOOKUP("Blé",AlimentsRationBovinsMâles,2,FALSE),0)+(IF(QualitéAlimentsVaches=MAUVAISE,VLOOKUP("Blé",AlimentsRationBovinsFemelles,2,FALSE),0))))))))))))))))</f>
        <v>0</v>
      </c>
    </row>
    <row r="345" spans="1:60" ht="12.75" customHeight="1" x14ac:dyDescent="0.2">
      <c r="A345" s="276"/>
      <c r="B345" s="276"/>
      <c r="BB345" s="332" t="str">
        <f t="shared" si="19"/>
        <v>Bouchons luzerne</v>
      </c>
      <c r="BC345" s="333">
        <f t="array" ref="BC345">SUM((IF(QualitéAlimentsVeauxMâles_0_3_mois=BONNE,VLOOKUP("Bouchons luzerne",AlimentsRationBovinsMâles,8,FALSE),0)+(IF(QualitéAlimentsVeauxFemelles_0_3_mois=BONNE,VLOOKUP("Bouchons luzerne",AlimentsRationBovinsFemelles,8,FALSE),0)+(IF(QualitéAlimentsVeauxMâles_3_6_mois=BONNE,VLOOKUP("Bouchons luzerne",AlimentsRationBovinsMâles,7,FALSE),0)+(IF(QualitéAlimentsVeauxFemelles_3_6_mois=BONNE,VLOOKUP("Bouchons luzerne",AlimentsRationBovinsFemelles,7,FALSE),0)+(IF(QualitéAlimentsVeauxMâles_6_12_mois=BONNE,VLOOKUP("Bouchons luzerne",AlimentsRationBovinsMâles,6,FALSE),0)+(IF(QualitéAlimentsVeauxFemelles_6_12_mois=BONNE,VLOOKUP("Bouchons luzerne",AlimentsRationBovinsFemelles,6,FALSE),0)+(IF(QualitéAlimentsTaurillons_12_18_mois=BONNE,VLOOKUP("Bouchons luzerne",AlimentsRationBovinsMâles,5,FALSE),0)+(IF(QualitéAlimentsGénisses_12_18_mois=BONNE,VLOOKUP("Bouchons luzerne",AlimentsRationBovinsFemelles,5,FALSE),0)+(IF(QualitéAlimentsTaurillons_18_24_mois=BONNE,VLOOKUP("Bouchons luzerne",AlimentsRationBovinsMâles,4,FALSE),0)+(IF(QualitéAlimentsGénisses_18_24_mois=BONNE,VLOOKUP("Bouchons luzerne",AlimentsRationBovinsFemelles,4,FALSE),0)+(IF(QualitéAlimentsTaurillons_24_36_mois=BONNE,VLOOKUP("Bouchons luzerne",AlimentsRationBovinsMâles,3,FALSE),0)+(IF(QualitéAlimentsGénisses_24_36_mois=BONNE,VLOOKUP("Bouchons luzerne",AlimentsRationBovinsFemelles,3,FALSE),0)+(IF(QualitéAlimentsTaureaux=BONNE,VLOOKUP("Bouchons luzerne",AlimentsRationBovinsMâles,2,FALSE),0)+(IF(QualitéAlimentsVaches=BONNE,VLOOKUP("Bouchons luzerne",AlimentsRationBovinsFemelles,2,FALSE),0))))))))))))))))</f>
        <v>0</v>
      </c>
      <c r="BD345" s="333">
        <f t="array" ref="BD345">SUM((IF(QualitéAlimentsVeauxMâles_0_3_mois=MOYENNE,VLOOKUP("Bouchons luzerne",AlimentsRationBovinsMâles,8,FALSE),0)+(IF(QualitéAlimentsVeauxFemelles_0_3_mois=MOYENNE,VLOOKUP("Bouchons luzerne",AlimentsRationBovinsFemelles,8,FALSE),0)+(IF(QualitéAlimentsVeauxMâles_3_6_mois=MOYENNE,VLOOKUP("Bouchons luzerne",AlimentsRationBovinsMâles,7,FALSE),0)+(IF(QualitéAlimentsVeauxFemelles_3_6_mois=MOYENNE,VLOOKUP("Bouchons luzerne",AlimentsRationBovinsFemelles,7,FALSE),0)+(IF(QualitéAlimentsVeauxMâles_6_12_mois=MOYENNE,VLOOKUP("Bouchons luzerne",AlimentsRationBovinsMâles,6,FALSE),0)+(IF(QualitéAlimentsVeauxFemelles_6_12_mois=MOYENNE,VLOOKUP("Bouchons luzerne",AlimentsRationBovinsFemelles,6,FALSE),0)+(IF(QualitéAlimentsTaurillons_12_18_mois=MOYENNE,VLOOKUP("Bouchons luzerne",AlimentsRationBovinsMâles,5,FALSE),0)+(IF(QualitéAlimentsGénisses_12_18_mois=MOYENNE,VLOOKUP("Bouchons luzerne",AlimentsRationBovinsFemelles,5,FALSE),0)+(IF(QualitéAlimentsTaurillons_18_24_mois=MOYENNE,VLOOKUP("Bouchons luzerne",AlimentsRationBovinsMâles,4,FALSE),0)+(IF(QualitéAlimentsGénisses_18_24_mois=MOYENNE,VLOOKUP("Bouchons luzerne",AlimentsRationBovinsFemelles,4,FALSE),0)+(IF(QualitéAlimentsTaurillons_24_36_mois=MOYENNE,VLOOKUP("Bouchons luzerne",AlimentsRationBovinsMâles,3,FALSE),0)+(IF(QualitéAlimentsGénisses_24_36_mois=MOYENNE,VLOOKUP("Bouchons luzerne",AlimentsRationBovinsFemelles,3,FALSE),0)+(IF(QualitéAlimentsTaureaux=MOYENNE,VLOOKUP("Bouchons luzerne",AlimentsRationBovinsMâles,2,FALSE),0)+(IF(QualitéAlimentsVaches=MOYENNE,VLOOKUP("Bouchons luzerne",AlimentsRationBovinsFemelles,2,FALSE),0))))))))))))))))</f>
        <v>0</v>
      </c>
      <c r="BE345" s="333">
        <f t="array" ref="BE345">SUM((IF(QualitéAlimentsVeauxMâles_0_3_mois=MAUVAISE,VLOOKUP("Bouchons luzerne",AlimentsRationBovinsMâles,8,FALSE),0)+(IF(QualitéAlimentsVeauxFemelles_0_3_mois=MAUVAISE,VLOOKUP("Bouchons luzerne",AlimentsRationBovinsFemelles,8,FALSE),0)+(IF(QualitéAlimentsVeauxMâles_3_6_mois=MAUVAISE,VLOOKUP("Bouchons luzerne",AlimentsRationBovinsMâles,7,FALSE),0)+(IF(QualitéAlimentsVeauxFemelles_3_6_mois=MAUVAISE,VLOOKUP("Bouchons luzerne",AlimentsRationBovinsFemelles,7,FALSE),0)+(IF(QualitéAlimentsVeauxMâles_6_12_mois=MAUVAISE,VLOOKUP("Bouchons luzerne",AlimentsRationBovinsMâles,6,FALSE),0)+(IF(QualitéAlimentsVeauxFemelles_6_12_mois=MAUVAISE,VLOOKUP("Bouchons luzerne",AlimentsRationBovinsFemelles,6,FALSE),0)+(IF(QualitéAlimentsTaurillons_12_18_mois=MAUVAISE,VLOOKUP("Bouchons luzerne",AlimentsRationBovinsMâles,5,FALSE),0)+(IF(QualitéAlimentsGénisses_12_18_mois=MAUVAISE,VLOOKUP("Bouchons luzerne",AlimentsRationBovinsFemelles,5,FALSE),0)+(IF(QualitéAlimentsTaurillons_18_24_mois=MAUVAISE,VLOOKUP("Bouchons luzerne",AlimentsRationBovinsMâles,4,FALSE),0)+(IF(QualitéAlimentsGénisses_18_24_mois=MAUVAISE,VLOOKUP("Bouchons luzerne",AlimentsRationBovinsFemelles,4,FALSE),0)+(IF(QualitéAlimentsTaurillons_24_36_mois=MAUVAISE,VLOOKUP("Bouchons luzerne",AlimentsRationBovinsMâles,3,FALSE),0)+(IF(QualitéAlimentsGénisses_24_36_mois=MAUVAISE,VLOOKUP("Bouchons luzerne",AlimentsRationBovinsFemelles,3,FALSE),0)+(IF(QualitéAlimentsTaureaux=MAUVAISE,VLOOKUP("Bouchons luzerne",AlimentsRationBovinsMâles,2,FALSE),0)+(IF(QualitéAlimentsVaches=MAUVAISE,VLOOKUP("Bouchons luzerne",AlimentsRationBovinsFemelles,2,FALSE),0))))))))))))))))</f>
        <v>0</v>
      </c>
    </row>
    <row r="346" spans="1:60" ht="12.75" customHeight="1" x14ac:dyDescent="0.2">
      <c r="A346" s="276"/>
      <c r="B346" s="276"/>
      <c r="BB346" s="332" t="str">
        <f t="shared" si="19"/>
        <v>Chanvre</v>
      </c>
      <c r="BC346" s="333">
        <f t="array" ref="BC346">SUM((IF(QualitéAlimentsVeauxMâles_0_3_mois=BONNE,VLOOKUP("Chanvre",AlimentsRationBovinsMâles,8,FALSE),0)+(IF(QualitéAlimentsVeauxFemelles_0_3_mois=BONNE,VLOOKUP("Chanvre",AlimentsRationBovinsFemelles,8,FALSE),0)+(IF(QualitéAlimentsVeauxMâles_3_6_mois=BONNE,VLOOKUP("Chanvre",AlimentsRationBovinsMâles,7,FALSE),0)+(IF(QualitéAlimentsVeauxFemelles_3_6_mois=BONNE,VLOOKUP("Chanvre",AlimentsRationBovinsFemelles,7,FALSE),0)+(IF(QualitéAlimentsVeauxMâles_6_12_mois=BONNE,VLOOKUP("Chanvre",AlimentsRationBovinsMâles,6,FALSE),0)+(IF(QualitéAlimentsVeauxFemelles_6_12_mois=BONNE,VLOOKUP("Chanvre",AlimentsRationBovinsFemelles,6,FALSE),0)+(IF(QualitéAlimentsTaurillons_12_18_mois=BONNE,VLOOKUP("Chanvre",AlimentsRationBovinsMâles,5,FALSE),0)+(IF(QualitéAlimentsGénisses_12_18_mois=BONNE,VLOOKUP("Chanvre",AlimentsRationBovinsFemelles,5,FALSE),0)+(IF(QualitéAlimentsTaurillons_18_24_mois=BONNE,VLOOKUP("Chanvre",AlimentsRationBovinsMâles,4,FALSE),0)+(IF(QualitéAlimentsGénisses_18_24_mois=BONNE,VLOOKUP("Chanvre",AlimentsRationBovinsFemelles,4,FALSE),0)+(IF(QualitéAlimentsTaurillons_24_36_mois=BONNE,VLOOKUP("Chanvre",AlimentsRationBovinsMâles,3,FALSE),0)+(IF(QualitéAlimentsGénisses_24_36_mois=BONNE,VLOOKUP("Chanvre",AlimentsRationBovinsFemelles,3,FALSE),0)+(IF(QualitéAlimentsTaureaux=BONNE,VLOOKUP("Chanvre",AlimentsRationBovinsMâles,2,FALSE),0)+(IF(QualitéAlimentsVaches=BONNE,VLOOKUP("Chanvre",AlimentsRationBovinsFemelles,2,FALSE),0))))))))))))))))</f>
        <v>0</v>
      </c>
      <c r="BD346" s="333">
        <f t="array" ref="BD346">SUM((IF(QualitéAlimentsVeauxMâles_0_3_mois=MOYENNE,VLOOKUP("Chanvre",AlimentsRationBovinsMâles,8,FALSE),0)+(IF(QualitéAlimentsVeauxFemelles_0_3_mois=MOYENNE,VLOOKUP("Chanvre",AlimentsRationBovinsFemelles,8,FALSE),0)+(IF(QualitéAlimentsVeauxMâles_3_6_mois=MOYENNE,VLOOKUP("Chanvre",AlimentsRationBovinsMâles,7,FALSE),0)+(IF(QualitéAlimentsVeauxFemelles_3_6_mois=MOYENNE,VLOOKUP("Chanvre",AlimentsRationBovinsFemelles,7,FALSE),0)+(IF(QualitéAlimentsVeauxMâles_6_12_mois=MOYENNE,VLOOKUP("Chanvre",AlimentsRationBovinsMâles,6,FALSE),0)+(IF(QualitéAlimentsVeauxFemelles_6_12_mois=MOYENNE,VLOOKUP("Chanvre",AlimentsRationBovinsFemelles,6,FALSE),0)+(IF(QualitéAlimentsTaurillons_12_18_mois=MOYENNE,VLOOKUP("Chanvre",AlimentsRationBovinsMâles,5,FALSE),0)+(IF(QualitéAlimentsGénisses_12_18_mois=MOYENNE,VLOOKUP("Chanvre",AlimentsRationBovinsFemelles,5,FALSE),0)+(IF(QualitéAlimentsTaurillons_18_24_mois=MOYENNE,VLOOKUP("Chanvre",AlimentsRationBovinsMâles,4,FALSE),0)+(IF(QualitéAlimentsGénisses_18_24_mois=MOYENNE,VLOOKUP("Chanvre",AlimentsRationBovinsFemelles,4,FALSE),0)+(IF(QualitéAlimentsTaurillons_24_36_mois=MOYENNE,VLOOKUP("Chanvre",AlimentsRationBovinsMâles,3,FALSE),0)+(IF(QualitéAlimentsGénisses_24_36_mois=MOYENNE,VLOOKUP("Chanvre",AlimentsRationBovinsFemelles,3,FALSE),0)+(IF(QualitéAlimentsTaureaux=MOYENNE,VLOOKUP("Chanvre",AlimentsRationBovinsMâles,2,FALSE),0)+(IF(QualitéAlimentsVaches=MOYENNE,VLOOKUP("Chanvre",AlimentsRationBovinsFemelles,2,FALSE),0))))))))))))))))</f>
        <v>0</v>
      </c>
      <c r="BE346" s="333">
        <f t="array" ref="BE346">SUM((IF(QualitéAlimentsVeauxMâles_0_3_mois=MAUVAISE,VLOOKUP("Chanvre",AlimentsRationBovinsMâles,8,FALSE),0)+(IF(QualitéAlimentsVeauxFemelles_0_3_mois=MAUVAISE,VLOOKUP("Chanvre",AlimentsRationBovinsFemelles,8,FALSE),0)+(IF(QualitéAlimentsVeauxMâles_3_6_mois=MAUVAISE,VLOOKUP("Chanvre",AlimentsRationBovinsMâles,7,FALSE),0)+(IF(QualitéAlimentsVeauxFemelles_3_6_mois=MAUVAISE,VLOOKUP("Chanvre",AlimentsRationBovinsFemelles,7,FALSE),0)+(IF(QualitéAlimentsVeauxMâles_6_12_mois=MAUVAISE,VLOOKUP("Chanvre",AlimentsRationBovinsMâles,6,FALSE),0)+(IF(QualitéAlimentsVeauxFemelles_6_12_mois=MAUVAISE,VLOOKUP("Chanvre",AlimentsRationBovinsFemelles,6,FALSE),0)+(IF(QualitéAlimentsTaurillons_12_18_mois=MAUVAISE,VLOOKUP("Chanvre",AlimentsRationBovinsMâles,5,FALSE),0)+(IF(QualitéAlimentsGénisses_12_18_mois=MAUVAISE,VLOOKUP("Chanvre",AlimentsRationBovinsFemelles,5,FALSE),0)+(IF(QualitéAlimentsTaurillons_18_24_mois=MAUVAISE,VLOOKUP("Chanvre",AlimentsRationBovinsMâles,4,FALSE),0)+(IF(QualitéAlimentsGénisses_18_24_mois=MAUVAISE,VLOOKUP("Chanvre",AlimentsRationBovinsFemelles,4,FALSE),0)+(IF(QualitéAlimentsTaurillons_24_36_mois=MAUVAISE,VLOOKUP("Chanvre",AlimentsRationBovinsMâles,3,FALSE),0)+(IF(QualitéAlimentsGénisses_24_36_mois=MAUVAISE,VLOOKUP("Chanvre",AlimentsRationBovinsFemelles,3,FALSE),0)+(IF(QualitéAlimentsTaureaux=MAUVAISE,VLOOKUP("Chanvre",AlimentsRationBovinsMâles,2,FALSE),0)+(IF(QualitéAlimentsVaches=MAUVAISE,VLOOKUP("Chanvre",AlimentsRationBovinsFemelles,2,FALSE),0))))))))))))))))</f>
        <v>0</v>
      </c>
    </row>
    <row r="347" spans="1:60" ht="12.75" customHeight="1" x14ac:dyDescent="0.2">
      <c r="A347" s="276"/>
      <c r="B347" s="276"/>
      <c r="BB347" s="332" t="str">
        <f t="shared" si="19"/>
        <v>Canola</v>
      </c>
      <c r="BC347" s="333">
        <f t="array" ref="BC347">SUM((IF(QualitéAlimentsVeauxMâles_0_3_mois=BONNE,VLOOKUP("Canola",AlimentsRationBovinsMâles,8,FALSE),0)+(IF(QualitéAlimentsVeauxFemelles_0_3_mois=BONNE,VLOOKUP("Canola",AlimentsRationBovinsFemelles,8,FALSE),0)+(IF(QualitéAlimentsVeauxMâles_3_6_mois=BONNE,VLOOKUP("Canola",AlimentsRationBovinsMâles,7,FALSE),0)+(IF(QualitéAlimentsVeauxFemelles_3_6_mois=BONNE,VLOOKUP("Canola",AlimentsRationBovinsFemelles,7,FALSE),0)+(IF(QualitéAlimentsVeauxMâles_6_12_mois=BONNE,VLOOKUP("Canola",AlimentsRationBovinsMâles,6,FALSE),0)+(IF(QualitéAlimentsVeauxFemelles_6_12_mois=BONNE,VLOOKUP("Canola",AlimentsRationBovinsFemelles,6,FALSE),0)+(IF(QualitéAlimentsTaurillons_12_18_mois=BONNE,VLOOKUP("Canola",AlimentsRationBovinsMâles,5,FALSE),0)+(IF(QualitéAlimentsGénisses_12_18_mois=BONNE,VLOOKUP("Canola",AlimentsRationBovinsFemelles,5,FALSE),0)+(IF(QualitéAlimentsTaurillons_18_24_mois=BONNE,VLOOKUP("Canola",AlimentsRationBovinsMâles,4,FALSE),0)+(IF(QualitéAlimentsGénisses_18_24_mois=BONNE,VLOOKUP("Canola",AlimentsRationBovinsFemelles,4,FALSE),0)+(IF(QualitéAlimentsTaurillons_24_36_mois=BONNE,VLOOKUP("Canola",AlimentsRationBovinsMâles,3,FALSE),0)+(IF(QualitéAlimentsGénisses_24_36_mois=BONNE,VLOOKUP("Canola",AlimentsRationBovinsFemelles,3,FALSE),0)+(IF(QualitéAlimentsTaureaux=BONNE,VLOOKUP("Canola",AlimentsRationBovinsMâles,2,FALSE),0)+(IF(QualitéAlimentsVaches=BONNE,VLOOKUP("Canola",AlimentsRationBovinsFemelles,2,FALSE),0))))))))))))))))</f>
        <v>0</v>
      </c>
      <c r="BD347" s="333">
        <f t="array" ref="BD347">SUM((IF(QualitéAlimentsVeauxMâles_0_3_mois=MOYENNE,VLOOKUP("Canola",AlimentsRationBovinsMâles,8,FALSE),0)+(IF(QualitéAlimentsVeauxFemelles_0_3_mois=MOYENNE,VLOOKUP("Canola",AlimentsRationBovinsFemelles,8,FALSE),0)+(IF(QualitéAlimentsVeauxMâles_3_6_mois=MOYENNE,VLOOKUP("Canola",AlimentsRationBovinsMâles,7,FALSE),0)+(IF(QualitéAlimentsVeauxFemelles_3_6_mois=MOYENNE,VLOOKUP("Canola",AlimentsRationBovinsFemelles,7,FALSE),0)+(IF(QualitéAlimentsVeauxMâles_6_12_mois=MOYENNE,VLOOKUP("Canola",AlimentsRationBovinsMâles,6,FALSE),0)+(IF(QualitéAlimentsVeauxFemelles_6_12_mois=MOYENNE,VLOOKUP("Canola",AlimentsRationBovinsFemelles,6,FALSE),0)+(IF(QualitéAlimentsTaurillons_12_18_mois=MOYENNE,VLOOKUP("Canola",AlimentsRationBovinsMâles,5,FALSE),0)+(IF(QualitéAlimentsGénisses_12_18_mois=MOYENNE,VLOOKUP("Canola",AlimentsRationBovinsFemelles,5,FALSE),0)+(IF(QualitéAlimentsTaurillons_18_24_mois=MOYENNE,VLOOKUP("Canola",AlimentsRationBovinsMâles,4,FALSE),0)+(IF(QualitéAlimentsGénisses_18_24_mois=MOYENNE,VLOOKUP("Canola",AlimentsRationBovinsFemelles,4,FALSE),0)+(IF(QualitéAlimentsTaurillons_24_36_mois=MOYENNE,VLOOKUP("Canola",AlimentsRationBovinsMâles,3,FALSE),0)+(IF(QualitéAlimentsGénisses_24_36_mois=MOYENNE,VLOOKUP("Canola",AlimentsRationBovinsFemelles,3,FALSE),0)+(IF(QualitéAlimentsTaureaux=MOYENNE,VLOOKUP("Canola",AlimentsRationBovinsMâles,2,FALSE),0)+(IF(QualitéAlimentsVaches=MOYENNE,VLOOKUP("Canola",AlimentsRationBovinsFemelles,2,FALSE),0))))))))))))))))</f>
        <v>0</v>
      </c>
      <c r="BE347" s="333">
        <f t="array" ref="BE347">SUM((IF(QualitéAlimentsVeauxMâles_0_3_mois=MAUVAISE,VLOOKUP("Canola",AlimentsRationBovinsMâles,8,FALSE),0)+(IF(QualitéAlimentsVeauxFemelles_0_3_mois=MAUVAISE,VLOOKUP("Canola",AlimentsRationBovinsFemelles,8,FALSE),0)+(IF(QualitéAlimentsVeauxMâles_3_6_mois=MAUVAISE,VLOOKUP("Canola",AlimentsRationBovinsMâles,7,FALSE),0)+(IF(QualitéAlimentsVeauxFemelles_3_6_mois=MAUVAISE,VLOOKUP("Canola",AlimentsRationBovinsFemelles,7,FALSE),0)+(IF(QualitéAlimentsVeauxMâles_6_12_mois=MAUVAISE,VLOOKUP("Canola",AlimentsRationBovinsMâles,6,FALSE),0)+(IF(QualitéAlimentsVeauxFemelles_6_12_mois=MAUVAISE,VLOOKUP("Canola",AlimentsRationBovinsFemelles,6,FALSE),0)+(IF(QualitéAlimentsTaurillons_12_18_mois=MAUVAISE,VLOOKUP("Canola",AlimentsRationBovinsMâles,5,FALSE),0)+(IF(QualitéAlimentsGénisses_12_18_mois=MAUVAISE,VLOOKUP("Canola",AlimentsRationBovinsFemelles,5,FALSE),0)+(IF(QualitéAlimentsTaurillons_18_24_mois=MAUVAISE,VLOOKUP("Canola",AlimentsRationBovinsMâles,4,FALSE),0)+(IF(QualitéAlimentsGénisses_18_24_mois=MAUVAISE,VLOOKUP("Canola",AlimentsRationBovinsFemelles,4,FALSE),0)+(IF(QualitéAlimentsTaurillons_24_36_mois=MAUVAISE,VLOOKUP("Canola",AlimentsRationBovinsMâles,3,FALSE),0)+(IF(QualitéAlimentsGénisses_24_36_mois=MAUVAISE,VLOOKUP("Canola",AlimentsRationBovinsFemelles,3,FALSE),0)+(IF(QualitéAlimentsTaureaux=MAUVAISE,VLOOKUP("Canola",AlimentsRationBovinsMâles,2,FALSE),0)+(IF(QualitéAlimentsVaches=MAUVAISE,VLOOKUP("Canola",AlimentsRationBovinsFemelles,2,FALSE),0))))))))))))))))</f>
        <v>0</v>
      </c>
    </row>
    <row r="348" spans="1:60" ht="12.75" customHeight="1" x14ac:dyDescent="0.2">
      <c r="A348" s="276"/>
      <c r="B348" s="276"/>
      <c r="BB348" s="332" t="str">
        <f t="shared" si="19"/>
        <v>Colza</v>
      </c>
      <c r="BC348" s="333">
        <f t="array" ref="BC348">SUM((IF(QualitéAlimentsVeauxMâles_0_3_mois=BONNE,VLOOKUP("Colza",AlimentsRationBovinsMâles,8,FALSE),0)+(IF(QualitéAlimentsVeauxFemelles_0_3_mois=BONNE,VLOOKUP("Colza",AlimentsRationBovinsFemelles,8,FALSE),0)+(IF(QualitéAlimentsVeauxMâles_3_6_mois=BONNE,VLOOKUP("Colza",AlimentsRationBovinsMâles,7,FALSE),0)+(IF(QualitéAlimentsVeauxFemelles_3_6_mois=BONNE,VLOOKUP("Colza",AlimentsRationBovinsFemelles,7,FALSE),0)+(IF(QualitéAlimentsVeauxMâles_6_12_mois=BONNE,VLOOKUP("Colza",AlimentsRationBovinsMâles,6,FALSE),0)+(IF(QualitéAlimentsVeauxFemelles_6_12_mois=BONNE,VLOOKUP("Colza",AlimentsRationBovinsFemelles,6,FALSE),0)+(IF(QualitéAlimentsTaurillons_12_18_mois=BONNE,VLOOKUP("Colza",AlimentsRationBovinsMâles,5,FALSE),0)+(IF(QualitéAlimentsGénisses_12_18_mois=BONNE,VLOOKUP("Colza",AlimentsRationBovinsFemelles,5,FALSE),0)+(IF(QualitéAlimentsTaurillons_18_24_mois=BONNE,VLOOKUP("Colza",AlimentsRationBovinsMâles,4,FALSE),0)+(IF(QualitéAlimentsGénisses_18_24_mois=BONNE,VLOOKUP("Colza",AlimentsRationBovinsFemelles,4,FALSE),0)+(IF(QualitéAlimentsTaurillons_24_36_mois=BONNE,VLOOKUP("Colza",AlimentsRationBovinsMâles,3,FALSE),0)+(IF(QualitéAlimentsGénisses_24_36_mois=BONNE,VLOOKUP("Colza",AlimentsRationBovinsFemelles,3,FALSE),0)+(IF(QualitéAlimentsTaureaux=BONNE,VLOOKUP("Colza",AlimentsRationBovinsMâles,2,FALSE),0)+(IF(QualitéAlimentsVaches=BONNE,VLOOKUP("Colza",AlimentsRationBovinsFemelles,2,FALSE),0))))))))))))))))</f>
        <v>0</v>
      </c>
      <c r="BD348" s="333">
        <f t="array" ref="BD348">SUM((IF(QualitéAlimentsVeauxMâles_0_3_mois=MOYENNE,VLOOKUP("Colza",AlimentsRationBovinsMâles,8,FALSE),0)+(IF(QualitéAlimentsVeauxFemelles_0_3_mois=MOYENNE,VLOOKUP("Colza",AlimentsRationBovinsFemelles,8,FALSE),0)+(IF(QualitéAlimentsVeauxMâles_3_6_mois=MOYENNE,VLOOKUP("Colza",AlimentsRationBovinsMâles,7,FALSE),0)+(IF(QualitéAlimentsVeauxFemelles_3_6_mois=MOYENNE,VLOOKUP("Colza",AlimentsRationBovinsFemelles,7,FALSE),0)+(IF(QualitéAlimentsVeauxMâles_6_12_mois=MOYENNE,VLOOKUP("Colza",AlimentsRationBovinsMâles,6,FALSE),0)+(IF(QualitéAlimentsVeauxFemelles_6_12_mois=MOYENNE,VLOOKUP("Colza",AlimentsRationBovinsFemelles,6,FALSE),0)+(IF(QualitéAlimentsTaurillons_12_18_mois=MOYENNE,VLOOKUP("Colza",AlimentsRationBovinsMâles,5,FALSE),0)+(IF(QualitéAlimentsGénisses_12_18_mois=MOYENNE,VLOOKUP("Colza",AlimentsRationBovinsFemelles,5,FALSE),0)+(IF(QualitéAlimentsTaurillons_18_24_mois=MOYENNE,VLOOKUP("Colza",AlimentsRationBovinsMâles,4,FALSE),0)+(IF(QualitéAlimentsGénisses_18_24_mois=MOYENNE,VLOOKUP("Colza",AlimentsRationBovinsFemelles,4,FALSE),0)+(IF(QualitéAlimentsTaurillons_24_36_mois=MOYENNE,VLOOKUP("Colza",AlimentsRationBovinsMâles,3,FALSE),0)+(IF(QualitéAlimentsGénisses_24_36_mois=MOYENNE,VLOOKUP("Colza",AlimentsRationBovinsFemelles,3,FALSE),0)+(IF(QualitéAlimentsTaureaux=MOYENNE,VLOOKUP("Colza",AlimentsRationBovinsMâles,2,FALSE),0)+(IF(QualitéAlimentsVaches=MOYENNE,VLOOKUP("Colza",AlimentsRationBovinsFemelles,2,FALSE),0))))))))))))))))</f>
        <v>0</v>
      </c>
      <c r="BE348" s="333">
        <f t="array" ref="BE348">SUM((IF(QualitéAlimentsVeauxMâles_0_3_mois=MAUVAISE,VLOOKUP("Colza",AlimentsRationBovinsMâles,8,FALSE),0)+(IF(QualitéAlimentsVeauxFemelles_0_3_mois=MAUVAISE,VLOOKUP("Colza",AlimentsRationBovinsFemelles,8,FALSE),0)+(IF(QualitéAlimentsVeauxMâles_3_6_mois=MAUVAISE,VLOOKUP("Colza",AlimentsRationBovinsMâles,7,FALSE),0)+(IF(QualitéAlimentsVeauxFemelles_3_6_mois=MAUVAISE,VLOOKUP("Colza",AlimentsRationBovinsFemelles,7,FALSE),0)+(IF(QualitéAlimentsVeauxMâles_6_12_mois=MAUVAISE,VLOOKUP("Colza",AlimentsRationBovinsMâles,6,FALSE),0)+(IF(QualitéAlimentsVeauxFemelles_6_12_mois=MAUVAISE,VLOOKUP("Colza",AlimentsRationBovinsFemelles,6,FALSE),0)+(IF(QualitéAlimentsTaurillons_12_18_mois=MAUVAISE,VLOOKUP("Colza",AlimentsRationBovinsMâles,5,FALSE),0)+(IF(QualitéAlimentsGénisses_12_18_mois=MAUVAISE,VLOOKUP("Colza",AlimentsRationBovinsFemelles,5,FALSE),0)+(IF(QualitéAlimentsTaurillons_18_24_mois=MAUVAISE,VLOOKUP("Colza",AlimentsRationBovinsMâles,4,FALSE),0)+(IF(QualitéAlimentsGénisses_18_24_mois=MAUVAISE,VLOOKUP("Colza",AlimentsRationBovinsFemelles,4,FALSE),0)+(IF(QualitéAlimentsTaurillons_24_36_mois=MAUVAISE,VLOOKUP("Colza",AlimentsRationBovinsMâles,3,FALSE),0)+(IF(QualitéAlimentsGénisses_24_36_mois=MAUVAISE,VLOOKUP("Colza",AlimentsRationBovinsFemelles,3,FALSE),0)+(IF(QualitéAlimentsTaureaux=MAUVAISE,VLOOKUP("Colza",AlimentsRationBovinsMâles,2,FALSE),0)+(IF(QualitéAlimentsVaches=MAUVAISE,VLOOKUP("Colza",AlimentsRationBovinsFemelles,2,FALSE),0))))))))))))))))</f>
        <v>0</v>
      </c>
    </row>
    <row r="349" spans="1:60" ht="12.75" customHeight="1" x14ac:dyDescent="0.2">
      <c r="A349" s="276"/>
      <c r="B349" s="276"/>
      <c r="BB349" s="332" t="str">
        <f t="shared" si="19"/>
        <v>concentré jeunes bovins</v>
      </c>
      <c r="BC349" s="333">
        <f t="array" ref="BC349">SUM((IF(QualitéAlimentsVeauxMâles_0_3_mois=BONNE,VLOOKUP("concentré jeunes bovins",AlimentsRationBovinsMâles,8,FALSE),0)+(IF(QualitéAlimentsVeauxFemelles_0_3_mois=BONNE,VLOOKUP("concentré jeunes bovins",AlimentsRationBovinsFemelles,8,FALSE),0)+(IF(QualitéAlimentsVeauxMâles_3_6_mois=BONNE,VLOOKUP("concentré jeunes bovins",AlimentsRationBovinsMâles,7,FALSE),0)+(IF(QualitéAlimentsVeauxFemelles_3_6_mois=BONNE,VLOOKUP("concentré jeunes bovins",AlimentsRationBovinsFemelles,7,FALSE),0)+(IF(QualitéAlimentsVeauxMâles_6_12_mois=BONNE,VLOOKUP("concentré jeunes bovins",AlimentsRationBovinsMâles,6,FALSE),0)+(IF(QualitéAlimentsVeauxFemelles_6_12_mois=BONNE,VLOOKUP("concentré jeunes bovins",AlimentsRationBovinsFemelles,6,FALSE),0)+(IF(QualitéAlimentsTaurillons_12_18_mois=BONNE,VLOOKUP("concentré jeunes bovins",AlimentsRationBovinsMâles,5,FALSE),0)+(IF(QualitéAlimentsGénisses_12_18_mois=BONNE,VLOOKUP("concentré jeunes bovins",AlimentsRationBovinsFemelles,5,FALSE),0)+(IF(QualitéAlimentsTaurillons_18_24_mois=BONNE,VLOOKUP("concentré jeunes bovins",AlimentsRationBovinsMâles,4,FALSE),0)+(IF(QualitéAlimentsGénisses_18_24_mois=BONNE,VLOOKUP("concentré jeunes bovins",AlimentsRationBovinsFemelles,4,FALSE),0)+(IF(QualitéAlimentsTaurillons_24_36_mois=BONNE,VLOOKUP("concentré jeunes bovins",AlimentsRationBovinsMâles,3,FALSE),0)+(IF(QualitéAlimentsGénisses_24_36_mois=BONNE,VLOOKUP("concentré jeunes bovins",AlimentsRationBovinsFemelles,3,FALSE),0)+(IF(QualitéAlimentsTaureaux=BONNE,VLOOKUP("concentré jeunes bovins",AlimentsRationBovinsMâles,2,FALSE),0)+(IF(QualitéAlimentsVaches=BONNE,VLOOKUP("concentré jeunes bovins",AlimentsRationBovinsFemelles,2,FALSE),0))))))))))))))))</f>
        <v>0</v>
      </c>
      <c r="BD349" s="333">
        <f t="array" ref="BD349">SUM((IF(QualitéAlimentsVeauxMâles_0_3_mois=MOYENNE,VLOOKUP("concentré jeunes bovins",AlimentsRationBovinsMâles,8,FALSE),0)+(IF(QualitéAlimentsVeauxFemelles_0_3_mois=MOYENNE,VLOOKUP("concentré jeunes bovins",AlimentsRationBovinsFemelles,8,FALSE),0)+(IF(QualitéAlimentsVeauxMâles_3_6_mois=MOYENNE,VLOOKUP("concentré jeunes bovins",AlimentsRationBovinsMâles,7,FALSE),0)+(IF(QualitéAlimentsVeauxFemelles_3_6_mois=MOYENNE,VLOOKUP("concentré jeunes bovins",AlimentsRationBovinsFemelles,7,FALSE),0)+(IF(QualitéAlimentsVeauxMâles_6_12_mois=MOYENNE,VLOOKUP("concentré jeunes bovins",AlimentsRationBovinsMâles,6,FALSE),0)+(IF(QualitéAlimentsVeauxFemelles_6_12_mois=MOYENNE,VLOOKUP("concentré jeunes bovins",AlimentsRationBovinsFemelles,6,FALSE),0)+(IF(QualitéAlimentsTaurillons_12_18_mois=MOYENNE,VLOOKUP("concentré jeunes bovins",AlimentsRationBovinsMâles,5,FALSE),0)+(IF(QualitéAlimentsGénisses_12_18_mois=MOYENNE,VLOOKUP("concentré jeunes bovins",AlimentsRationBovinsFemelles,5,FALSE),0)+(IF(QualitéAlimentsTaurillons_18_24_mois=MOYENNE,VLOOKUP("concentré jeunes bovins",AlimentsRationBovinsMâles,4,FALSE),0)+(IF(QualitéAlimentsGénisses_18_24_mois=MOYENNE,VLOOKUP("concentré jeunes bovins",AlimentsRationBovinsFemelles,4,FALSE),0)+(IF(QualitéAlimentsTaurillons_24_36_mois=MOYENNE,VLOOKUP("concentré jeunes bovins",AlimentsRationBovinsMâles,3,FALSE),0)+(IF(QualitéAlimentsGénisses_24_36_mois=MOYENNE,VLOOKUP("concentré jeunes bovins",AlimentsRationBovinsFemelles,3,FALSE),0)+(IF(QualitéAlimentsTaureaux=MOYENNE,VLOOKUP("concentré jeunes bovins",AlimentsRationBovinsMâles,2,FALSE),0)+(IF(QualitéAlimentsVaches=MOYENNE,VLOOKUP("concentré jeunes bovins",AlimentsRationBovinsFemelles,2,FALSE),0))))))))))))))))</f>
        <v>0</v>
      </c>
      <c r="BE349" s="333">
        <f t="array" ref="BE349">SUM((IF(QualitéAlimentsVeauxMâles_0_3_mois=MAUVAISE,VLOOKUP("concentré jeunes bovins",AlimentsRationBovinsMâles,8,FALSE),0)+(IF(QualitéAlimentsVeauxFemelles_0_3_mois=MAUVAISE,VLOOKUP("concentré jeunes bovins",AlimentsRationBovinsFemelles,8,FALSE),0)+(IF(QualitéAlimentsVeauxMâles_3_6_mois=MAUVAISE,VLOOKUP("concentré jeunes bovins",AlimentsRationBovinsMâles,7,FALSE),0)+(IF(QualitéAlimentsVeauxFemelles_3_6_mois=MAUVAISE,VLOOKUP("concentré jeunes bovins",AlimentsRationBovinsFemelles,7,FALSE),0)+(IF(QualitéAlimentsVeauxMâles_6_12_mois=MAUVAISE,VLOOKUP("concentré jeunes bovins",AlimentsRationBovinsMâles,6,FALSE),0)+(IF(QualitéAlimentsVeauxFemelles_6_12_mois=MAUVAISE,VLOOKUP("concentré jeunes bovins",AlimentsRationBovinsFemelles,6,FALSE),0)+(IF(QualitéAlimentsTaurillons_12_18_mois=MAUVAISE,VLOOKUP("concentré jeunes bovins",AlimentsRationBovinsMâles,5,FALSE),0)+(IF(QualitéAlimentsGénisses_12_18_mois=MAUVAISE,VLOOKUP("concentré jeunes bovins",AlimentsRationBovinsFemelles,5,FALSE),0)+(IF(QualitéAlimentsTaurillons_18_24_mois=MAUVAISE,VLOOKUP("concentré jeunes bovins",AlimentsRationBovinsMâles,4,FALSE),0)+(IF(QualitéAlimentsGénisses_18_24_mois=MAUVAISE,VLOOKUP("concentré jeunes bovins",AlimentsRationBovinsFemelles,4,FALSE),0)+(IF(QualitéAlimentsTaurillons_24_36_mois=MAUVAISE,VLOOKUP("concentré jeunes bovins",AlimentsRationBovinsMâles,3,FALSE),0)+(IF(QualitéAlimentsGénisses_24_36_mois=MAUVAISE,VLOOKUP("concentré jeunes bovins",AlimentsRationBovinsFemelles,3,FALSE),0)+(IF(QualitéAlimentsTaureaux=MAUVAISE,VLOOKUP("concentré jeunes bovins",AlimentsRationBovinsMâles,2,FALSE),0)+(IF(QualitéAlimentsVaches=MAUVAISE,VLOOKUP("concentré jeunes bovins",AlimentsRationBovinsFemelles,2,FALSE),0))))))))))))))))</f>
        <v>0</v>
      </c>
    </row>
    <row r="350" spans="1:60" ht="12.75" customHeight="1" x14ac:dyDescent="0.2">
      <c r="A350" s="276"/>
      <c r="B350" s="276"/>
      <c r="BB350" s="332" t="str">
        <f t="shared" si="19"/>
        <v>concentré jeunes lapins</v>
      </c>
      <c r="BC350" s="333">
        <f t="array" ref="BC350">SUM((IF(QualitéAlimentsVeauxMâles_0_3_mois=BONNE,VLOOKUP("concentré jeunes lapins",AlimentsRationBovinsMâles,8,FALSE),0)+(IF(QualitéAlimentsVeauxFemelles_0_3_mois=BONNE,VLOOKUP("concentré jeunes lapins",AlimentsRationBovinsFemelles,8,FALSE),0)+(IF(QualitéAlimentsVeauxMâles_3_6_mois=BONNE,VLOOKUP("concentré jeunes lapins",AlimentsRationBovinsMâles,7,FALSE),0)+(IF(QualitéAlimentsVeauxFemelles_3_6_mois=BONNE,VLOOKUP("concentré jeunes lapins",AlimentsRationBovinsFemelles,7,FALSE),0)+(IF(QualitéAlimentsVeauxMâles_6_12_mois=BONNE,VLOOKUP("concentré jeunes lapins",AlimentsRationBovinsMâles,6,FALSE),0)+(IF(QualitéAlimentsVeauxFemelles_6_12_mois=BONNE,VLOOKUP("concentré jeunes lapins",AlimentsRationBovinsFemelles,6,FALSE),0)+(IF(QualitéAlimentsTaurillons_12_18_mois=BONNE,VLOOKUP("concentré jeunes lapins",AlimentsRationBovinsMâles,5,FALSE),0)+(IF(QualitéAlimentsGénisses_12_18_mois=BONNE,VLOOKUP("concentré jeunes lapins",AlimentsRationBovinsFemelles,5,FALSE),0)+(IF(QualitéAlimentsTaurillons_18_24_mois=BONNE,VLOOKUP("concentré jeunes lapins",AlimentsRationBovinsMâles,4,FALSE),0)+(IF(QualitéAlimentsGénisses_18_24_mois=BONNE,VLOOKUP("concentré jeunes lapins",AlimentsRationBovinsFemelles,4,FALSE),0)+(IF(QualitéAlimentsTaurillons_24_36_mois=BONNE,VLOOKUP("concentré jeunes lapins",AlimentsRationBovinsMâles,3,FALSE),0)+(IF(QualitéAlimentsGénisses_24_36_mois=BONNE,VLOOKUP("concentré jeunes lapins",AlimentsRationBovinsFemelles,3,FALSE),0)+(IF(QualitéAlimentsTaureaux=BONNE,VLOOKUP("concentré jeunes lapins",AlimentsRationBovinsMâles,2,FALSE),0)+(IF(QualitéAlimentsVaches=BONNE,VLOOKUP("concentré jeunes lapins",AlimentsRationBovinsFemelles,2,FALSE),0))))))))))))))))</f>
        <v>0</v>
      </c>
      <c r="BD350" s="333">
        <f t="array" ref="BD350">SUM((IF(QualitéAlimentsVeauxMâles_0_3_mois=MOYENNE,VLOOKUP("concentré jeunes lapins",AlimentsRationBovinsMâles,8,FALSE),0)+(IF(QualitéAlimentsVeauxFemelles_0_3_mois=MOYENNE,VLOOKUP("concentré jeunes lapins",AlimentsRationBovinsFemelles,8,FALSE),0)+(IF(QualitéAlimentsVeauxMâles_3_6_mois=MOYENNE,VLOOKUP("concentré jeunes lapins",AlimentsRationBovinsMâles,7,FALSE),0)+(IF(QualitéAlimentsVeauxFemelles_3_6_mois=MOYENNE,VLOOKUP("concentré jeunes lapins",AlimentsRationBovinsFemelles,7,FALSE),0)+(IF(QualitéAlimentsVeauxMâles_6_12_mois=MOYENNE,VLOOKUP("concentré jeunes lapins",AlimentsRationBovinsMâles,6,FALSE),0)+(IF(QualitéAlimentsVeauxFemelles_6_12_mois=MOYENNE,VLOOKUP("concentré jeunes lapins",AlimentsRationBovinsFemelles,6,FALSE),0)+(IF(QualitéAlimentsTaurillons_12_18_mois=MOYENNE,VLOOKUP("concentré jeunes lapins",AlimentsRationBovinsMâles,5,FALSE),0)+(IF(QualitéAlimentsGénisses_12_18_mois=MOYENNE,VLOOKUP("concentré jeunes lapins",AlimentsRationBovinsFemelles,5,FALSE),0)+(IF(QualitéAlimentsTaurillons_18_24_mois=MOYENNE,VLOOKUP("concentré jeunes lapins",AlimentsRationBovinsMâles,4,FALSE),0)+(IF(QualitéAlimentsGénisses_18_24_mois=MOYENNE,VLOOKUP("concentré jeunes lapins",AlimentsRationBovinsFemelles,4,FALSE),0)+(IF(QualitéAlimentsTaurillons_24_36_mois=MOYENNE,VLOOKUP("concentré jeunes lapins",AlimentsRationBovinsMâles,3,FALSE),0)+(IF(QualitéAlimentsGénisses_24_36_mois=MOYENNE,VLOOKUP("concentré jeunes lapins",AlimentsRationBovinsFemelles,3,FALSE),0)+(IF(QualitéAlimentsTaureaux=MOYENNE,VLOOKUP("concentré jeunes lapins",AlimentsRationBovinsMâles,2,FALSE),0)+(IF(QualitéAlimentsVaches=MOYENNE,VLOOKUP("concentré jeunes lapins",AlimentsRationBovinsFemelles,2,FALSE),0))))))))))))))))</f>
        <v>0</v>
      </c>
      <c r="BE350" s="333">
        <f t="array" ref="BE350">SUM((IF(QualitéAlimentsVeauxMâles_0_3_mois=MAUVAISE,VLOOKUP("concentré jeunes lapins",AlimentsRationBovinsMâles,8,FALSE),0)+(IF(QualitéAlimentsVeauxFemelles_0_3_mois=MAUVAISE,VLOOKUP("concentré jeunes lapins",AlimentsRationBovinsFemelles,8,FALSE),0)+(IF(QualitéAlimentsVeauxMâles_3_6_mois=MAUVAISE,VLOOKUP("concentré jeunes lapins",AlimentsRationBovinsMâles,7,FALSE),0)+(IF(QualitéAlimentsVeauxFemelles_3_6_mois=MAUVAISE,VLOOKUP("concentré jeunes lapins",AlimentsRationBovinsFemelles,7,FALSE),0)+(IF(QualitéAlimentsVeauxMâles_6_12_mois=MAUVAISE,VLOOKUP("concentré jeunes lapins",AlimentsRationBovinsMâles,6,FALSE),0)+(IF(QualitéAlimentsVeauxFemelles_6_12_mois=MAUVAISE,VLOOKUP("concentré jeunes lapins",AlimentsRationBovinsFemelles,6,FALSE),0)+(IF(QualitéAlimentsTaurillons_12_18_mois=MAUVAISE,VLOOKUP("concentré jeunes lapins",AlimentsRationBovinsMâles,5,FALSE),0)+(IF(QualitéAlimentsGénisses_12_18_mois=MAUVAISE,VLOOKUP("concentré jeunes lapins",AlimentsRationBovinsFemelles,5,FALSE),0)+(IF(QualitéAlimentsTaurillons_18_24_mois=MAUVAISE,VLOOKUP("concentré jeunes lapins",AlimentsRationBovinsMâles,4,FALSE),0)+(IF(QualitéAlimentsGénisses_18_24_mois=MAUVAISE,VLOOKUP("concentré jeunes lapins",AlimentsRationBovinsFemelles,4,FALSE),0)+(IF(QualitéAlimentsTaurillons_24_36_mois=MAUVAISE,VLOOKUP("concentré jeunes lapins",AlimentsRationBovinsMâles,3,FALSE),0)+(IF(QualitéAlimentsGénisses_24_36_mois=MAUVAISE,VLOOKUP("concentré jeunes lapins",AlimentsRationBovinsFemelles,3,FALSE),0)+(IF(QualitéAlimentsTaureaux=MAUVAISE,VLOOKUP("concentré jeunes lapins",AlimentsRationBovinsMâles,2,FALSE),0)+(IF(QualitéAlimentsVaches=MAUVAISE,VLOOKUP("concentré jeunes lapins",AlimentsRationBovinsFemelles,2,FALSE),0))))))))))))))))</f>
        <v>0</v>
      </c>
    </row>
    <row r="351" spans="1:60" ht="12.75" customHeight="1" x14ac:dyDescent="0.2">
      <c r="A351" s="276"/>
      <c r="B351" s="276"/>
      <c r="BB351" s="332" t="str">
        <f t="shared" si="19"/>
        <v>concentré jeunes porcins</v>
      </c>
      <c r="BC351" s="333">
        <f t="array" ref="BC351">SUM((IF(QualitéAlimentsVeauxMâles_0_3_mois=BONNE,VLOOKUP("concentré jeunes porcins",AlimentsRationBovinsMâles,8,FALSE),0)+(IF(QualitéAlimentsVeauxFemelles_0_3_mois=BONNE,VLOOKUP("concentré jeunes porcins",AlimentsRationBovinsFemelles,8,FALSE),0)+(IF(QualitéAlimentsVeauxMâles_3_6_mois=BONNE,VLOOKUP("concentré jeunes porcins",AlimentsRationBovinsMâles,7,FALSE),0)+(IF(QualitéAlimentsVeauxFemelles_3_6_mois=BONNE,VLOOKUP("concentré jeunes porcins",AlimentsRationBovinsFemelles,7,FALSE),0)+(IF(QualitéAlimentsVeauxMâles_6_12_mois=BONNE,VLOOKUP("concentré jeunes porcins",AlimentsRationBovinsMâles,6,FALSE),0)+(IF(QualitéAlimentsVeauxFemelles_6_12_mois=BONNE,VLOOKUP("concentré jeunes porcins",AlimentsRationBovinsFemelles,6,FALSE),0)+(IF(QualitéAlimentsTaurillons_12_18_mois=BONNE,VLOOKUP("concentré jeunes porcins",AlimentsRationBovinsMâles,5,FALSE),0)+(IF(QualitéAlimentsGénisses_12_18_mois=BONNE,VLOOKUP("concentré jeunes porcins",AlimentsRationBovinsFemelles,5,FALSE),0)+(IF(QualitéAlimentsTaurillons_18_24_mois=BONNE,VLOOKUP("concentré jeunes porcins",AlimentsRationBovinsMâles,4,FALSE),0)+(IF(QualitéAlimentsGénisses_18_24_mois=BONNE,VLOOKUP("concentré jeunes porcins",AlimentsRationBovinsFemelles,4,FALSE),0)+(IF(QualitéAlimentsTaurillons_24_36_mois=BONNE,VLOOKUP("concentré jeunes porcins",AlimentsRationBovinsMâles,3,FALSE),0)+(IF(QualitéAlimentsGénisses_24_36_mois=BONNE,VLOOKUP("concentré jeunes porcins",AlimentsRationBovinsFemelles,3,FALSE),0)+(IF(QualitéAlimentsTaureaux=BONNE,VLOOKUP("concentré jeunes porcins",AlimentsRationBovinsMâles,2,FALSE),0)+(IF(QualitéAlimentsVaches=BONNE,VLOOKUP("concentré jeunes porcins",AlimentsRationBovinsFemelles,2,FALSE),0))))))))))))))))</f>
        <v>0</v>
      </c>
      <c r="BD351" s="333">
        <f t="array" ref="BD351">SUM((IF(QualitéAlimentsVeauxMâles_0_3_mois=MOYENNE,VLOOKUP("concentré jeunes porcins",AlimentsRationBovinsMâles,8,FALSE),0)+(IF(QualitéAlimentsVeauxFemelles_0_3_mois=MOYENNE,VLOOKUP("concentré jeunes porcins",AlimentsRationBovinsFemelles,8,FALSE),0)+(IF(QualitéAlimentsVeauxMâles_3_6_mois=MOYENNE,VLOOKUP("concentré jeunes porcins",AlimentsRationBovinsMâles,7,FALSE),0)+(IF(QualitéAlimentsVeauxFemelles_3_6_mois=MOYENNE,VLOOKUP("concentré jeunes porcins",AlimentsRationBovinsFemelles,7,FALSE),0)+(IF(QualitéAlimentsVeauxMâles_6_12_mois=MOYENNE,VLOOKUP("concentré jeunes porcins",AlimentsRationBovinsMâles,6,FALSE),0)+(IF(QualitéAlimentsVeauxFemelles_6_12_mois=MOYENNE,VLOOKUP("concentré jeunes porcins",AlimentsRationBovinsFemelles,6,FALSE),0)+(IF(QualitéAlimentsTaurillons_12_18_mois=MOYENNE,VLOOKUP("concentré jeunes porcins",AlimentsRationBovinsMâles,5,FALSE),0)+(IF(QualitéAlimentsGénisses_12_18_mois=MOYENNE,VLOOKUP("concentré jeunes porcins",AlimentsRationBovinsFemelles,5,FALSE),0)+(IF(QualitéAlimentsTaurillons_18_24_mois=MOYENNE,VLOOKUP("concentré jeunes porcins",AlimentsRationBovinsMâles,4,FALSE),0)+(IF(QualitéAlimentsGénisses_18_24_mois=MOYENNE,VLOOKUP("concentré jeunes porcins",AlimentsRationBovinsFemelles,4,FALSE),0)+(IF(QualitéAlimentsTaurillons_24_36_mois=MOYENNE,VLOOKUP("concentré jeunes porcins",AlimentsRationBovinsMâles,3,FALSE),0)+(IF(QualitéAlimentsGénisses_24_36_mois=MOYENNE,VLOOKUP("concentré jeunes porcins",AlimentsRationBovinsFemelles,3,FALSE),0)+(IF(QualitéAlimentsTaureaux=MOYENNE,VLOOKUP("concentré jeunes porcins",AlimentsRationBovinsMâles,2,FALSE),0)+(IF(QualitéAlimentsVaches=MOYENNE,VLOOKUP("concentré jeunes porcins",AlimentsRationBovinsFemelles,2,FALSE),0))))))))))))))))</f>
        <v>0</v>
      </c>
      <c r="BE351" s="333">
        <f t="array" ref="BE351">SUM((IF(QualitéAlimentsVeauxMâles_0_3_mois=MAUVAISE,VLOOKUP("concentré jeunes porcins",AlimentsRationBovinsMâles,8,FALSE),0)+(IF(QualitéAlimentsVeauxFemelles_0_3_mois=MAUVAISE,VLOOKUP("concentré jeunes porcins",AlimentsRationBovinsFemelles,8,FALSE),0)+(IF(QualitéAlimentsVeauxMâles_3_6_mois=MAUVAISE,VLOOKUP("concentré jeunes porcins",AlimentsRationBovinsMâles,7,FALSE),0)+(IF(QualitéAlimentsVeauxFemelles_3_6_mois=MAUVAISE,VLOOKUP("concentré jeunes porcins",AlimentsRationBovinsFemelles,7,FALSE),0)+(IF(QualitéAlimentsVeauxMâles_6_12_mois=MAUVAISE,VLOOKUP("concentré jeunes porcins",AlimentsRationBovinsMâles,6,FALSE),0)+(IF(QualitéAlimentsVeauxFemelles_6_12_mois=MAUVAISE,VLOOKUP("concentré jeunes porcins",AlimentsRationBovinsFemelles,6,FALSE),0)+(IF(QualitéAlimentsTaurillons_12_18_mois=MAUVAISE,VLOOKUP("concentré jeunes porcins",AlimentsRationBovinsMâles,5,FALSE),0)+(IF(QualitéAlimentsGénisses_12_18_mois=MAUVAISE,VLOOKUP("concentré jeunes porcins",AlimentsRationBovinsFemelles,5,FALSE),0)+(IF(QualitéAlimentsTaurillons_18_24_mois=MAUVAISE,VLOOKUP("concentré jeunes porcins",AlimentsRationBovinsMâles,4,FALSE),0)+(IF(QualitéAlimentsGénisses_18_24_mois=MAUVAISE,VLOOKUP("concentré jeunes porcins",AlimentsRationBovinsFemelles,4,FALSE),0)+(IF(QualitéAlimentsTaurillons_24_36_mois=MAUVAISE,VLOOKUP("concentré jeunes porcins",AlimentsRationBovinsMâles,3,FALSE),0)+(IF(QualitéAlimentsGénisses_24_36_mois=MAUVAISE,VLOOKUP("concentré jeunes porcins",AlimentsRationBovinsFemelles,3,FALSE),0)+(IF(QualitéAlimentsTaureaux=MAUVAISE,VLOOKUP("concentré jeunes porcins",AlimentsRationBovinsMâles,2,FALSE),0)+(IF(QualitéAlimentsVaches=MAUVAISE,VLOOKUP("concentré jeunes porcins",AlimentsRationBovinsFemelles,2,FALSE),0))))))))))))))))</f>
        <v>0</v>
      </c>
    </row>
    <row r="352" spans="1:60" ht="12.75" customHeight="1" x14ac:dyDescent="0.2">
      <c r="A352" s="276"/>
      <c r="B352" s="276"/>
      <c r="BB352" s="332" t="str">
        <f t="shared" si="19"/>
        <v>Ensilage d'herbe</v>
      </c>
      <c r="BC352" s="333">
        <f t="array" ref="BC352">SUM((IF(QualitéAlimentsVeauxMâles_0_3_mois=BONNE,VLOOKUP("Ensilage d'herbe",AlimentsRationBovinsMâles,8,FALSE),0)+(IF(QualitéAlimentsVeauxFemelles_0_3_mois=BONNE,VLOOKUP("Ensilage d'herbe",AlimentsRationBovinsFemelles,8,FALSE),0)+(IF(QualitéAlimentsVeauxMâles_3_6_mois=BONNE,VLOOKUP("Ensilage d'herbe",AlimentsRationBovinsMâles,7,FALSE),0)+(IF(QualitéAlimentsVeauxFemelles_3_6_mois=BONNE,VLOOKUP("Ensilage d'herbe",AlimentsRationBovinsFemelles,7,FALSE),0)+(IF(QualitéAlimentsVeauxMâles_6_12_mois=BONNE,VLOOKUP("Ensilage d'herbe",AlimentsRationBovinsMâles,6,FALSE),0)+(IF(QualitéAlimentsVeauxFemelles_6_12_mois=BONNE,VLOOKUP("Ensilage d'herbe",AlimentsRationBovinsFemelles,6,FALSE),0)+(IF(QualitéAlimentsTaurillons_12_18_mois=BONNE,VLOOKUP("Ensilage d'herbe",AlimentsRationBovinsMâles,5,FALSE),0)+(IF(QualitéAlimentsGénisses_12_18_mois=BONNE,VLOOKUP("Ensilage d'herbe",AlimentsRationBovinsFemelles,5,FALSE),0)+(IF(QualitéAlimentsTaurillons_18_24_mois=BONNE,VLOOKUP("Ensilage d'herbe",AlimentsRationBovinsMâles,4,FALSE),0)+(IF(QualitéAlimentsGénisses_18_24_mois=BONNE,VLOOKUP("Ensilage d'herbe",AlimentsRationBovinsFemelles,4,FALSE),0)+(IF(QualitéAlimentsTaurillons_24_36_mois=BONNE,VLOOKUP("Ensilage d'herbe",AlimentsRationBovinsMâles,3,FALSE),0)+(IF(QualitéAlimentsGénisses_24_36_mois=BONNE,VLOOKUP("Ensilage d'herbe",AlimentsRationBovinsFemelles,3,FALSE),0)+(IF(QualitéAlimentsTaureaux=BONNE,VLOOKUP("Ensilage d'herbe",AlimentsRationBovinsMâles,2,FALSE),0)+(IF(QualitéAlimentsVaches=BONNE,VLOOKUP("Ensilage d'herbe",AlimentsRationBovinsFemelles,2,FALSE),0))))))))))))))))</f>
        <v>0</v>
      </c>
      <c r="BD352" s="333">
        <f t="array" ref="BD352">SUM((IF(QualitéAlimentsVeauxMâles_0_3_mois=MOYENNE,VLOOKUP("Ensilage d'herbe",AlimentsRationBovinsMâles,8,FALSE),0)+(IF(QualitéAlimentsVeauxFemelles_0_3_mois=MOYENNE,VLOOKUP("Ensilage d'herbe",AlimentsRationBovinsFemelles,8,FALSE),0)+(IF(QualitéAlimentsVeauxMâles_3_6_mois=MOYENNE,VLOOKUP("Ensilage d'herbe",AlimentsRationBovinsMâles,7,FALSE),0)+(IF(QualitéAlimentsVeauxFemelles_3_6_mois=MOYENNE,VLOOKUP("Ensilage d'herbe",AlimentsRationBovinsFemelles,7,FALSE),0)+(IF(QualitéAlimentsVeauxMâles_6_12_mois=MOYENNE,VLOOKUP("Ensilage d'herbe",AlimentsRationBovinsMâles,6,FALSE),0)+(IF(QualitéAlimentsVeauxFemelles_6_12_mois=MOYENNE,VLOOKUP("Ensilage d'herbe",AlimentsRationBovinsFemelles,6,FALSE),0)+(IF(QualitéAlimentsTaurillons_12_18_mois=MOYENNE,VLOOKUP("Ensilage d'herbe",AlimentsRationBovinsMâles,5,FALSE),0)+(IF(QualitéAlimentsGénisses_12_18_mois=MOYENNE,VLOOKUP("Ensilage d'herbe",AlimentsRationBovinsFemelles,5,FALSE),0)+(IF(QualitéAlimentsTaurillons_18_24_mois=MOYENNE,VLOOKUP("Ensilage d'herbe",AlimentsRationBovinsMâles,4,FALSE),0)+(IF(QualitéAlimentsGénisses_18_24_mois=MOYENNE,VLOOKUP("Ensilage d'herbe",AlimentsRationBovinsFemelles,4,FALSE),0)+(IF(QualitéAlimentsTaurillons_24_36_mois=MOYENNE,VLOOKUP("Ensilage d'herbe",AlimentsRationBovinsMâles,3,FALSE),0)+(IF(QualitéAlimentsGénisses_24_36_mois=MOYENNE,VLOOKUP("Ensilage d'herbe",AlimentsRationBovinsFemelles,3,FALSE),0)+(IF(QualitéAlimentsTaureaux=MOYENNE,VLOOKUP("Ensilage d'herbe",AlimentsRationBovinsMâles,2,FALSE),0)+(IF(QualitéAlimentsVaches=MOYENNE,VLOOKUP("Ensilage d'herbe",AlimentsRationBovinsFemelles,2,FALSE),0))))))))))))))))</f>
        <v>0</v>
      </c>
      <c r="BE352" s="333">
        <f t="array" ref="BE352">SUM((IF(QualitéAlimentsVeauxMâles_0_3_mois=MAUVAISE,VLOOKUP("Ensilage d'herbe",AlimentsRationBovinsMâles,8,FALSE),0)+(IF(QualitéAlimentsVeauxFemelles_0_3_mois=MAUVAISE,VLOOKUP("Ensilage d'herbe",AlimentsRationBovinsFemelles,8,FALSE),0)+(IF(QualitéAlimentsVeauxMâles_3_6_mois=MAUVAISE,VLOOKUP("Ensilage d'herbe",AlimentsRationBovinsMâles,7,FALSE),0)+(IF(QualitéAlimentsVeauxFemelles_3_6_mois=MAUVAISE,VLOOKUP("Ensilage d'herbe",AlimentsRationBovinsFemelles,7,FALSE),0)+(IF(QualitéAlimentsVeauxMâles_6_12_mois=MAUVAISE,VLOOKUP("Ensilage d'herbe",AlimentsRationBovinsMâles,6,FALSE),0)+(IF(QualitéAlimentsVeauxFemelles_6_12_mois=MAUVAISE,VLOOKUP("Ensilage d'herbe",AlimentsRationBovinsFemelles,6,FALSE),0)+(IF(QualitéAlimentsTaurillons_12_18_mois=MAUVAISE,VLOOKUP("Ensilage d'herbe",AlimentsRationBovinsMâles,5,FALSE),0)+(IF(QualitéAlimentsGénisses_12_18_mois=MAUVAISE,VLOOKUP("Ensilage d'herbe",AlimentsRationBovinsFemelles,5,FALSE),0)+(IF(QualitéAlimentsTaurillons_18_24_mois=MAUVAISE,VLOOKUP("Ensilage d'herbe",AlimentsRationBovinsMâles,4,FALSE),0)+(IF(QualitéAlimentsGénisses_18_24_mois=MAUVAISE,VLOOKUP("Ensilage d'herbe",AlimentsRationBovinsFemelles,4,FALSE),0)+(IF(QualitéAlimentsTaurillons_24_36_mois=MAUVAISE,VLOOKUP("Ensilage d'herbe",AlimentsRationBovinsMâles,3,FALSE),0)+(IF(QualitéAlimentsGénisses_24_36_mois=MAUVAISE,VLOOKUP("Ensilage d'herbe",AlimentsRationBovinsFemelles,3,FALSE),0)+(IF(QualitéAlimentsTaureaux=MAUVAISE,VLOOKUP("Ensilage d'herbe",AlimentsRationBovinsMâles,2,FALSE),0)+(IF(QualitéAlimentsVaches=MAUVAISE,VLOOKUP("Ensilage d'herbe",AlimentsRationBovinsFemelles,2,FALSE),0))))))))))))))))</f>
        <v>0</v>
      </c>
    </row>
    <row r="353" spans="1:86" ht="12.75" customHeight="1" x14ac:dyDescent="0.2">
      <c r="A353" s="276"/>
      <c r="B353" s="276"/>
      <c r="BB353" s="332" t="str">
        <f t="shared" si="19"/>
        <v>Eau</v>
      </c>
      <c r="BC353" s="333">
        <f t="array" ref="BC353">SUM((IF(QualitéAlimentsVeauxMâles_0_3_mois=BONNE,VLOOKUP("Eau",AlimentsRationBovinsMâles,8,FALSE),0)+(IF(QualitéAlimentsVeauxFemelles_0_3_mois=BONNE,VLOOKUP("Eau",AlimentsRationBovinsFemelles,8,FALSE),0)+(IF(QualitéAlimentsVeauxMâles_3_6_mois=BONNE,VLOOKUP("Eau",AlimentsRationBovinsMâles,7,FALSE),0)+(IF(QualitéAlimentsVeauxFemelles_3_6_mois=BONNE,VLOOKUP("Eau",AlimentsRationBovinsFemelles,7,FALSE),0)+(IF(QualitéAlimentsVeauxMâles_6_12_mois=BONNE,VLOOKUP("Eau",AlimentsRationBovinsMâles,6,FALSE),0)+(IF(QualitéAlimentsVeauxFemelles_6_12_mois=BONNE,VLOOKUP("Eau",AlimentsRationBovinsFemelles,6,FALSE),0)+(IF(QualitéAlimentsTaurillons_12_18_mois=BONNE,VLOOKUP("Eau",AlimentsRationBovinsMâles,5,FALSE),0)+(IF(QualitéAlimentsGénisses_12_18_mois=BONNE,VLOOKUP("Eau",AlimentsRationBovinsFemelles,5,FALSE),0)+(IF(QualitéAlimentsTaurillons_18_24_mois=BONNE,VLOOKUP("Eau",AlimentsRationBovinsMâles,4,FALSE),0)+(IF(QualitéAlimentsGénisses_18_24_mois=BONNE,VLOOKUP("Eau",AlimentsRationBovinsFemelles,4,FALSE),0)+(IF(QualitéAlimentsTaurillons_24_36_mois=BONNE,VLOOKUP("Eau",AlimentsRationBovinsMâles,3,FALSE),0)+(IF(QualitéAlimentsGénisses_24_36_mois=BONNE,VLOOKUP("Eau",AlimentsRationBovinsFemelles,3,FALSE),0)+(IF(QualitéAlimentsTaureaux=BONNE,VLOOKUP("Eau",AlimentsRationBovinsMâles,2,FALSE),0)+(IF(QualitéAlimentsVaches=BONNE,VLOOKUP("Eau",AlimentsRationBovinsFemelles,2,FALSE),0))))))))))))))))</f>
        <v>0</v>
      </c>
      <c r="BD353" s="333">
        <f t="array" ref="BD353">SUM((IF(QualitéAlimentsVeauxMâles_0_3_mois=MOYENNE,VLOOKUP("Eau",AlimentsRationBovinsMâles,8,FALSE),0)+(IF(QualitéAlimentsVeauxFemelles_0_3_mois=MOYENNE,VLOOKUP("Eau",AlimentsRationBovinsFemelles,8,FALSE),0)+(IF(QualitéAlimentsVeauxMâles_3_6_mois=MOYENNE,VLOOKUP("Eau",AlimentsRationBovinsMâles,7,FALSE),0)+(IF(QualitéAlimentsVeauxFemelles_3_6_mois=MOYENNE,VLOOKUP("Eau",AlimentsRationBovinsFemelles,7,FALSE),0)+(IF(QualitéAlimentsVeauxMâles_6_12_mois=MOYENNE,VLOOKUP("Eau",AlimentsRationBovinsMâles,6,FALSE),0)+(IF(QualitéAlimentsVeauxFemelles_6_12_mois=MOYENNE,VLOOKUP("Eau",AlimentsRationBovinsFemelles,6,FALSE),0)+(IF(QualitéAlimentsTaurillons_12_18_mois=MOYENNE,VLOOKUP("Eau",AlimentsRationBovinsMâles,5,FALSE),0)+(IF(QualitéAlimentsGénisses_12_18_mois=MOYENNE,VLOOKUP("Eau",AlimentsRationBovinsFemelles,5,FALSE),0)+(IF(QualitéAlimentsTaurillons_18_24_mois=MOYENNE,VLOOKUP("Eau",AlimentsRationBovinsMâles,4,FALSE),0)+(IF(QualitéAlimentsGénisses_18_24_mois=MOYENNE,VLOOKUP("Eau",AlimentsRationBovinsFemelles,4,FALSE),0)+(IF(QualitéAlimentsTaurillons_24_36_mois=MOYENNE,VLOOKUP("Eau",AlimentsRationBovinsMâles,3,FALSE),0)+(IF(QualitéAlimentsGénisses_24_36_mois=MOYENNE,VLOOKUP("Eau",AlimentsRationBovinsFemelles,3,FALSE),0)+(IF(QualitéAlimentsTaureaux=MOYENNE,VLOOKUP("Eau",AlimentsRationBovinsMâles,2,FALSE),0)+(IF(QualitéAlimentsVaches=MOYENNE,VLOOKUP("Eau",AlimentsRationBovinsFemelles,2,FALSE),0))))))))))))))))</f>
        <v>0</v>
      </c>
      <c r="BE353" s="333">
        <f t="array" ref="BE353">SUM((IF(QualitéAlimentsVeauxMâles_0_3_mois=MAUVAISE,VLOOKUP("Eau",AlimentsRationBovinsMâles,8,FALSE),0)+(IF(QualitéAlimentsVeauxFemelles_0_3_mois=MAUVAISE,VLOOKUP("Eau",AlimentsRationBovinsFemelles,8,FALSE),0)+(IF(QualitéAlimentsVeauxMâles_3_6_mois=MAUVAISE,VLOOKUP("Eau",AlimentsRationBovinsMâles,7,FALSE),0)+(IF(QualitéAlimentsVeauxFemelles_3_6_mois=MAUVAISE,VLOOKUP("Eau",AlimentsRationBovinsFemelles,7,FALSE),0)+(IF(QualitéAlimentsVeauxMâles_6_12_mois=MAUVAISE,VLOOKUP("Eau",AlimentsRationBovinsMâles,6,FALSE),0)+(IF(QualitéAlimentsVeauxFemelles_6_12_mois=MAUVAISE,VLOOKUP("Eau",AlimentsRationBovinsFemelles,6,FALSE),0)+(IF(QualitéAlimentsTaurillons_12_18_mois=MAUVAISE,VLOOKUP("Eau",AlimentsRationBovinsMâles,5,FALSE),0)+(IF(QualitéAlimentsGénisses_12_18_mois=MAUVAISE,VLOOKUP("Eau",AlimentsRationBovinsFemelles,5,FALSE),0)+(IF(QualitéAlimentsTaurillons_18_24_mois=MAUVAISE,VLOOKUP("Eau",AlimentsRationBovinsMâles,4,FALSE),0)+(IF(QualitéAlimentsGénisses_18_24_mois=MAUVAISE,VLOOKUP("Eau",AlimentsRationBovinsFemelles,4,FALSE),0)+(IF(QualitéAlimentsTaurillons_24_36_mois=MAUVAISE,VLOOKUP("Eau",AlimentsRationBovinsMâles,3,FALSE),0)+(IF(QualitéAlimentsGénisses_24_36_mois=MAUVAISE,VLOOKUP("Eau",AlimentsRationBovinsFemelles,3,FALSE),0)+(IF(QualitéAlimentsTaureaux=MAUVAISE,VLOOKUP("Eau",AlimentsRationBovinsMâles,2,FALSE),0)+(IF(QualitéAlimentsVaches=MAUVAISE,VLOOKUP("Eau",AlimentsRationBovinsFemelles,2,FALSE),0))))))))))))))))</f>
        <v>0</v>
      </c>
    </row>
    <row r="354" spans="1:86" ht="12.75" customHeight="1" x14ac:dyDescent="0.2">
      <c r="A354" s="276"/>
      <c r="B354" s="276"/>
      <c r="BB354" s="332" t="str">
        <f t="shared" si="19"/>
        <v>Epinard</v>
      </c>
      <c r="BC354" s="333">
        <f t="array" ref="BC354">SUM((IF(QualitéAlimentsVeauxMâles_0_3_mois=BONNE,VLOOKUP("Epinard",AlimentsRationBovinsMâles,8,FALSE),0)+(IF(QualitéAlimentsVeauxFemelles_0_3_mois=BONNE,VLOOKUP("Epinard",AlimentsRationBovinsFemelles,8,FALSE),0)+(IF(QualitéAlimentsVeauxMâles_3_6_mois=BONNE,VLOOKUP("Epinard",AlimentsRationBovinsMâles,7,FALSE),0)+(IF(QualitéAlimentsVeauxFemelles_3_6_mois=BONNE,VLOOKUP("Epinard",AlimentsRationBovinsFemelles,7,FALSE),0)+(IF(QualitéAlimentsVeauxMâles_6_12_mois=BONNE,VLOOKUP("Epinard",AlimentsRationBovinsMâles,6,FALSE),0)+(IF(QualitéAlimentsVeauxFemelles_6_12_mois=BONNE,VLOOKUP("Epinard",AlimentsRationBovinsFemelles,6,FALSE),0)+(IF(QualitéAlimentsTaurillons_12_18_mois=BONNE,VLOOKUP("Epinard",AlimentsRationBovinsMâles,5,FALSE),0)+(IF(QualitéAlimentsGénisses_12_18_mois=BONNE,VLOOKUP("Epinard",AlimentsRationBovinsFemelles,5,FALSE),0)+(IF(QualitéAlimentsTaurillons_18_24_mois=BONNE,VLOOKUP("Epinard",AlimentsRationBovinsMâles,4,FALSE),0)+(IF(QualitéAlimentsGénisses_18_24_mois=BONNE,VLOOKUP("Epinard",AlimentsRationBovinsFemelles,4,FALSE),0)+(IF(QualitéAlimentsTaurillons_24_36_mois=BONNE,VLOOKUP("Epinard",AlimentsRationBovinsMâles,3,FALSE),0)+(IF(QualitéAlimentsGénisses_24_36_mois=BONNE,VLOOKUP("Epinard",AlimentsRationBovinsFemelles,3,FALSE),0)+(IF(QualitéAlimentsTaureaux=BONNE,VLOOKUP("Epinard",AlimentsRationBovinsMâles,2,FALSE),0)+(IF(QualitéAlimentsVaches=BONNE,VLOOKUP("Epinard",AlimentsRationBovinsFemelles,2,FALSE),0))))))))))))))))</f>
        <v>0</v>
      </c>
      <c r="BD354" s="333">
        <f t="array" ref="BD354">SUM((IF(QualitéAlimentsVeauxMâles_0_3_mois=MOYENNE,VLOOKUP("Epinard",AlimentsRationBovinsMâles,8,FALSE),0)+(IF(QualitéAlimentsVeauxFemelles_0_3_mois=MOYENNE,VLOOKUP("Epinard",AlimentsRationBovinsFemelles,8,FALSE),0)+(IF(QualitéAlimentsVeauxMâles_3_6_mois=MOYENNE,VLOOKUP("Epinard",AlimentsRationBovinsMâles,7,FALSE),0)+(IF(QualitéAlimentsVeauxFemelles_3_6_mois=MOYENNE,VLOOKUP("Epinard",AlimentsRationBovinsFemelles,7,FALSE),0)+(IF(QualitéAlimentsVeauxMâles_6_12_mois=MOYENNE,VLOOKUP("Epinard",AlimentsRationBovinsMâles,6,FALSE),0)+(IF(QualitéAlimentsVeauxFemelles_6_12_mois=MOYENNE,VLOOKUP("Epinard",AlimentsRationBovinsFemelles,6,FALSE),0)+(IF(QualitéAlimentsTaurillons_12_18_mois=MOYENNE,VLOOKUP("Epinard",AlimentsRationBovinsMâles,5,FALSE),0)+(IF(QualitéAlimentsGénisses_12_18_mois=MOYENNE,VLOOKUP("Epinard",AlimentsRationBovinsFemelles,5,FALSE),0)+(IF(QualitéAlimentsTaurillons_18_24_mois=MOYENNE,VLOOKUP("Epinard",AlimentsRationBovinsMâles,4,FALSE),0)+(IF(QualitéAlimentsGénisses_18_24_mois=MOYENNE,VLOOKUP("Epinard",AlimentsRationBovinsFemelles,4,FALSE),0)+(IF(QualitéAlimentsTaurillons_24_36_mois=MOYENNE,VLOOKUP("Epinard",AlimentsRationBovinsMâles,3,FALSE),0)+(IF(QualitéAlimentsGénisses_24_36_mois=MOYENNE,VLOOKUP("Epinard",AlimentsRationBovinsFemelles,3,FALSE),0)+(IF(QualitéAlimentsTaureaux=MOYENNE,VLOOKUP("Epinard",AlimentsRationBovinsMâles,2,FALSE),0)+(IF(QualitéAlimentsVaches=MOYENNE,VLOOKUP("Epinard",AlimentsRationBovinsFemelles,2,FALSE),0))))))))))))))))</f>
        <v>0</v>
      </c>
      <c r="BE354" s="333">
        <f t="array" ref="BE354">SUM((IF(QualitéAlimentsVeauxMâles_0_3_mois=MAUVAISE,VLOOKUP("Epinard",AlimentsRationBovinsMâles,8,FALSE),0)+(IF(QualitéAlimentsVeauxFemelles_0_3_mois=MAUVAISE,VLOOKUP("Epinard",AlimentsRationBovinsFemelles,8,FALSE),0)+(IF(QualitéAlimentsVeauxMâles_3_6_mois=MAUVAISE,VLOOKUP("Epinard",AlimentsRationBovinsMâles,7,FALSE),0)+(IF(QualitéAlimentsVeauxFemelles_3_6_mois=MAUVAISE,VLOOKUP("Epinard",AlimentsRationBovinsFemelles,7,FALSE),0)+(IF(QualitéAlimentsVeauxMâles_6_12_mois=MAUVAISE,VLOOKUP("Epinard",AlimentsRationBovinsMâles,6,FALSE),0)+(IF(QualitéAlimentsVeauxFemelles_6_12_mois=MAUVAISE,VLOOKUP("Epinard",AlimentsRationBovinsFemelles,6,FALSE),0)+(IF(QualitéAlimentsTaurillons_12_18_mois=MAUVAISE,VLOOKUP("Epinard",AlimentsRationBovinsMâles,5,FALSE),0)+(IF(QualitéAlimentsGénisses_12_18_mois=MAUVAISE,VLOOKUP("Epinard",AlimentsRationBovinsFemelles,5,FALSE),0)+(IF(QualitéAlimentsTaurillons_18_24_mois=MAUVAISE,VLOOKUP("Epinard",AlimentsRationBovinsMâles,4,FALSE),0)+(IF(QualitéAlimentsGénisses_18_24_mois=MAUVAISE,VLOOKUP("Epinard",AlimentsRationBovinsFemelles,4,FALSE),0)+(IF(QualitéAlimentsTaurillons_24_36_mois=MAUVAISE,VLOOKUP("Epinard",AlimentsRationBovinsMâles,3,FALSE),0)+(IF(QualitéAlimentsGénisses_24_36_mois=MAUVAISE,VLOOKUP("Epinard",AlimentsRationBovinsFemelles,3,FALSE),0)+(IF(QualitéAlimentsTaureaux=MAUVAISE,VLOOKUP("Epinard",AlimentsRationBovinsMâles,2,FALSE),0)+(IF(QualitéAlimentsVaches=MAUVAISE,VLOOKUP("Epinard",AlimentsRationBovinsFemelles,2,FALSE),0))))))))))))))))</f>
        <v>0</v>
      </c>
    </row>
    <row r="355" spans="1:86" ht="12.75" customHeight="1" x14ac:dyDescent="0.2">
      <c r="A355" s="276"/>
      <c r="B355" s="276"/>
      <c r="BB355" s="332" t="str">
        <f t="shared" si="19"/>
        <v>Féverole</v>
      </c>
      <c r="BC355" s="333">
        <f t="array" ref="BC355">SUM((IF(QualitéAlimentsVeauxMâles_0_3_mois=BONNE,VLOOKUP("Féverole",AlimentsRationBovinsMâles,8,FALSE),0)+(IF(QualitéAlimentsVeauxFemelles_0_3_mois=BONNE,VLOOKUP("Féverole",AlimentsRationBovinsFemelles,8,FALSE),0)+(IF(QualitéAlimentsVeauxMâles_3_6_mois=BONNE,VLOOKUP("Féverole",AlimentsRationBovinsMâles,7,FALSE),0)+(IF(QualitéAlimentsVeauxFemelles_3_6_mois=BONNE,VLOOKUP("Féverole",AlimentsRationBovinsFemelles,7,FALSE),0)+(IF(QualitéAlimentsVeauxMâles_6_12_mois=BONNE,VLOOKUP("Féverole",AlimentsRationBovinsMâles,6,FALSE),0)+(IF(QualitéAlimentsVeauxFemelles_6_12_mois=BONNE,VLOOKUP("Féverole",AlimentsRationBovinsFemelles,6,FALSE),0)+(IF(QualitéAlimentsTaurillons_12_18_mois=BONNE,VLOOKUP("Féverole",AlimentsRationBovinsMâles,5,FALSE),0)+(IF(QualitéAlimentsGénisses_12_18_mois=BONNE,VLOOKUP("Féverole",AlimentsRationBovinsFemelles,5,FALSE),0)+(IF(QualitéAlimentsTaurillons_18_24_mois=BONNE,VLOOKUP("Féverole",AlimentsRationBovinsMâles,4,FALSE),0)+(IF(QualitéAlimentsGénisses_18_24_mois=BONNE,VLOOKUP("Féverole",AlimentsRationBovinsFemelles,4,FALSE),0)+(IF(QualitéAlimentsTaurillons_24_36_mois=BONNE,VLOOKUP("Féverole",AlimentsRationBovinsMâles,3,FALSE),0)+(IF(QualitéAlimentsGénisses_24_36_mois=BONNE,VLOOKUP("Féverole",AlimentsRationBovinsFemelles,3,FALSE),0)+(IF(QualitéAlimentsTaureaux=BONNE,VLOOKUP("Féverole",AlimentsRationBovinsMâles,2,FALSE),0)+(IF(QualitéAlimentsVaches=BONNE,VLOOKUP("Féverole",AlimentsRationBovinsFemelles,2,FALSE),0))))))))))))))))</f>
        <v>0</v>
      </c>
      <c r="BD355" s="333">
        <f t="array" ref="BD355">SUM((IF(QualitéAlimentsVeauxMâles_0_3_mois=MOYENNE,VLOOKUP("Féverole",AlimentsRationBovinsMâles,8,FALSE),0)+(IF(QualitéAlimentsVeauxFemelles_0_3_mois=MOYENNE,VLOOKUP("Féverole",AlimentsRationBovinsFemelles,8,FALSE),0)+(IF(QualitéAlimentsVeauxMâles_3_6_mois=MOYENNE,VLOOKUP("Féverole",AlimentsRationBovinsMâles,7,FALSE),0)+(IF(QualitéAlimentsVeauxFemelles_3_6_mois=MOYENNE,VLOOKUP("Féverole",AlimentsRationBovinsFemelles,7,FALSE),0)+(IF(QualitéAlimentsVeauxMâles_6_12_mois=MOYENNE,VLOOKUP("Féverole",AlimentsRationBovinsMâles,6,FALSE),0)+(IF(QualitéAlimentsVeauxFemelles_6_12_mois=MOYENNE,VLOOKUP("Féverole",AlimentsRationBovinsFemelles,6,FALSE),0)+(IF(QualitéAlimentsTaurillons_12_18_mois=MOYENNE,VLOOKUP("Féverole",AlimentsRationBovinsMâles,5,FALSE),0)+(IF(QualitéAlimentsGénisses_12_18_mois=MOYENNE,VLOOKUP("Féverole",AlimentsRationBovinsFemelles,5,FALSE),0)+(IF(QualitéAlimentsTaurillons_18_24_mois=MOYENNE,VLOOKUP("Féverole",AlimentsRationBovinsMâles,4,FALSE),0)+(IF(QualitéAlimentsGénisses_18_24_mois=MOYENNE,VLOOKUP("Féverole",AlimentsRationBovinsFemelles,4,FALSE),0)+(IF(QualitéAlimentsTaurillons_24_36_mois=MOYENNE,VLOOKUP("Féverole",AlimentsRationBovinsMâles,3,FALSE),0)+(IF(QualitéAlimentsGénisses_24_36_mois=MOYENNE,VLOOKUP("Féverole",AlimentsRationBovinsFemelles,3,FALSE),0)+(IF(QualitéAlimentsTaureaux=MOYENNE,VLOOKUP("Féverole",AlimentsRationBovinsMâles,2,FALSE),0)+(IF(QualitéAlimentsVaches=MOYENNE,VLOOKUP("Féverole",AlimentsRationBovinsFemelles,2,FALSE),0))))))))))))))))</f>
        <v>0</v>
      </c>
      <c r="BE355" s="333">
        <f t="array" ref="BE355">SUM((IF(QualitéAlimentsVeauxMâles_0_3_mois=MAUVAISE,VLOOKUP("Féverole",AlimentsRationBovinsMâles,8,FALSE),0)+(IF(QualitéAlimentsVeauxFemelles_0_3_mois=MAUVAISE,VLOOKUP("Féverole",AlimentsRationBovinsFemelles,8,FALSE),0)+(IF(QualitéAlimentsVeauxMâles_3_6_mois=MAUVAISE,VLOOKUP("Féverole",AlimentsRationBovinsMâles,7,FALSE),0)+(IF(QualitéAlimentsVeauxFemelles_3_6_mois=MAUVAISE,VLOOKUP("Féverole",AlimentsRationBovinsFemelles,7,FALSE),0)+(IF(QualitéAlimentsVeauxMâles_6_12_mois=MAUVAISE,VLOOKUP("Féverole",AlimentsRationBovinsMâles,6,FALSE),0)+(IF(QualitéAlimentsVeauxFemelles_6_12_mois=MAUVAISE,VLOOKUP("Féverole",AlimentsRationBovinsFemelles,6,FALSE),0)+(IF(QualitéAlimentsTaurillons_12_18_mois=MAUVAISE,VLOOKUP("Féverole",AlimentsRationBovinsMâles,5,FALSE),0)+(IF(QualitéAlimentsGénisses_12_18_mois=MAUVAISE,VLOOKUP("Féverole",AlimentsRationBovinsFemelles,5,FALSE),0)+(IF(QualitéAlimentsTaurillons_18_24_mois=MAUVAISE,VLOOKUP("Féverole",AlimentsRationBovinsMâles,4,FALSE),0)+(IF(QualitéAlimentsGénisses_18_24_mois=MAUVAISE,VLOOKUP("Féverole",AlimentsRationBovinsFemelles,4,FALSE),0)+(IF(QualitéAlimentsTaurillons_24_36_mois=MAUVAISE,VLOOKUP("Féverole",AlimentsRationBovinsMâles,3,FALSE),0)+(IF(QualitéAlimentsGénisses_24_36_mois=MAUVAISE,VLOOKUP("Féverole",AlimentsRationBovinsFemelles,3,FALSE),0)+(IF(QualitéAlimentsTaureaux=MAUVAISE,VLOOKUP("Féverole",AlimentsRationBovinsMâles,2,FALSE),0)+(IF(QualitéAlimentsVaches=MAUVAISE,VLOOKUP("Féverole",AlimentsRationBovinsFemelles,2,FALSE),0))))))))))))))))</f>
        <v>0</v>
      </c>
      <c r="CC355" s="281"/>
      <c r="CH355" s="276"/>
    </row>
    <row r="356" spans="1:86" ht="12.75" customHeight="1" x14ac:dyDescent="0.2">
      <c r="A356" s="276"/>
      <c r="B356" s="276"/>
      <c r="BB356" s="332" t="str">
        <f t="shared" si="19"/>
        <v>Foin</v>
      </c>
      <c r="BC356" s="333">
        <f t="array" ref="BC356">SUM((IF(QualitéAlimentsVeauxMâles_0_3_mois=BONNE,VLOOKUP("Foin",AlimentsRationBovinsMâles,8,FALSE),0)+(IF(QualitéAlimentsVeauxFemelles_0_3_mois=BONNE,VLOOKUP("Foin",AlimentsRationBovinsFemelles,8,FALSE),0)+(IF(QualitéAlimentsVeauxMâles_3_6_mois=BONNE,VLOOKUP("Foin",AlimentsRationBovinsMâles,7,FALSE),0)+(IF(QualitéAlimentsVeauxFemelles_3_6_mois=BONNE,VLOOKUP("Foin",AlimentsRationBovinsFemelles,7,FALSE),0)+(IF(QualitéAlimentsVeauxMâles_6_12_mois=BONNE,VLOOKUP("Foin",AlimentsRationBovinsMâles,6,FALSE),0)+(IF(QualitéAlimentsVeauxFemelles_6_12_mois=BONNE,VLOOKUP("Foin",AlimentsRationBovinsFemelles,6,FALSE),0)+(IF(QualitéAlimentsTaurillons_12_18_mois=BONNE,VLOOKUP("Foin",AlimentsRationBovinsMâles,5,FALSE),0)+(IF(QualitéAlimentsGénisses_12_18_mois=BONNE,VLOOKUP("Foin",AlimentsRationBovinsFemelles,5,FALSE),0)+(IF(QualitéAlimentsTaurillons_18_24_mois=BONNE,VLOOKUP("Foin",AlimentsRationBovinsMâles,4,FALSE),0)+(IF(QualitéAlimentsGénisses_18_24_mois=BONNE,VLOOKUP("Foin",AlimentsRationBovinsFemelles,4,FALSE),0)+(IF(QualitéAlimentsTaurillons_24_36_mois=BONNE,VLOOKUP("Foin",AlimentsRationBovinsMâles,3,FALSE),0)+(IF(QualitéAlimentsGénisses_24_36_mois=BONNE,VLOOKUP("Foin",AlimentsRationBovinsFemelles,3,FALSE),0)+(IF(QualitéAlimentsTaureaux=BONNE,VLOOKUP("Foin",AlimentsRationBovinsMâles,2,FALSE),0)+(IF(QualitéAlimentsVaches=BONNE,VLOOKUP("Foin",AlimentsRationBovinsFemelles,2,FALSE),0))))))))))))))))</f>
        <v>0</v>
      </c>
      <c r="BD356" s="333">
        <f t="array" ref="BD356">SUM((IF(QualitéAlimentsVeauxMâles_0_3_mois=MOYENNE,VLOOKUP("Foin",AlimentsRationBovinsMâles,8,FALSE),0)+(IF(QualitéAlimentsVeauxFemelles_0_3_mois=MOYENNE,VLOOKUP("Foin",AlimentsRationBovinsFemelles,8,FALSE),0)+(IF(QualitéAlimentsVeauxMâles_3_6_mois=MOYENNE,VLOOKUP("Foin",AlimentsRationBovinsMâles,7,FALSE),0)+(IF(QualitéAlimentsVeauxFemelles_3_6_mois=MOYENNE,VLOOKUP("Foin",AlimentsRationBovinsFemelles,7,FALSE),0)+(IF(QualitéAlimentsVeauxMâles_6_12_mois=MOYENNE,VLOOKUP("Foin",AlimentsRationBovinsMâles,6,FALSE),0)+(IF(QualitéAlimentsVeauxFemelles_6_12_mois=MOYENNE,VLOOKUP("Foin",AlimentsRationBovinsFemelles,6,FALSE),0)+(IF(QualitéAlimentsTaurillons_12_18_mois=MOYENNE,VLOOKUP("Foin",AlimentsRationBovinsMâles,5,FALSE),0)+(IF(QualitéAlimentsGénisses_12_18_mois=MOYENNE,VLOOKUP("Foin",AlimentsRationBovinsFemelles,5,FALSE),0)+(IF(QualitéAlimentsTaurillons_18_24_mois=MOYENNE,VLOOKUP("Foin",AlimentsRationBovinsMâles,4,FALSE),0)+(IF(QualitéAlimentsGénisses_18_24_mois=MOYENNE,VLOOKUP("Foin",AlimentsRationBovinsFemelles,4,FALSE),0)+(IF(QualitéAlimentsTaurillons_24_36_mois=MOYENNE,VLOOKUP("Foin",AlimentsRationBovinsMâles,3,FALSE),0)+(IF(QualitéAlimentsGénisses_24_36_mois=MOYENNE,VLOOKUP("Foin",AlimentsRationBovinsFemelles,3,FALSE),0)+(IF(QualitéAlimentsTaureaux=MOYENNE,VLOOKUP("Foin",AlimentsRationBovinsMâles,2,FALSE),0)+(IF(QualitéAlimentsVaches=MOYENNE,VLOOKUP("Foin",AlimentsRationBovinsFemelles,2,FALSE),0))))))))))))))))</f>
        <v>0</v>
      </c>
      <c r="BE356" s="333">
        <f t="array" ref="BE356">SUM((IF(QualitéAlimentsVeauxMâles_0_3_mois=MAUVAISE,VLOOKUP("Foin",AlimentsRationBovinsMâles,8,FALSE),0)+(IF(QualitéAlimentsVeauxFemelles_0_3_mois=MAUVAISE,VLOOKUP("Foin",AlimentsRationBovinsFemelles,8,FALSE),0)+(IF(QualitéAlimentsVeauxMâles_3_6_mois=MAUVAISE,VLOOKUP("Foin",AlimentsRationBovinsMâles,7,FALSE),0)+(IF(QualitéAlimentsVeauxFemelles_3_6_mois=MAUVAISE,VLOOKUP("Foin",AlimentsRationBovinsFemelles,7,FALSE),0)+(IF(QualitéAlimentsVeauxMâles_6_12_mois=MAUVAISE,VLOOKUP("Foin",AlimentsRationBovinsMâles,6,FALSE),0)+(IF(QualitéAlimentsVeauxFemelles_6_12_mois=MAUVAISE,VLOOKUP("Foin",AlimentsRationBovinsFemelles,6,FALSE),0)+(IF(QualitéAlimentsTaurillons_12_18_mois=MAUVAISE,VLOOKUP("Foin",AlimentsRationBovinsMâles,5,FALSE),0)+(IF(QualitéAlimentsGénisses_12_18_mois=MAUVAISE,VLOOKUP("Foin",AlimentsRationBovinsFemelles,5,FALSE),0)+(IF(QualitéAlimentsTaurillons_18_24_mois=MAUVAISE,VLOOKUP("Foin",AlimentsRationBovinsMâles,4,FALSE),0)+(IF(QualitéAlimentsGénisses_18_24_mois=MAUVAISE,VLOOKUP("Foin",AlimentsRationBovinsFemelles,4,FALSE),0)+(IF(QualitéAlimentsTaurillons_24_36_mois=MAUVAISE,VLOOKUP("Foin",AlimentsRationBovinsMâles,3,FALSE),0)+(IF(QualitéAlimentsGénisses_24_36_mois=MAUVAISE,VLOOKUP("Foin",AlimentsRationBovinsFemelles,3,FALSE),0)+(IF(QualitéAlimentsTaureaux=MAUVAISE,VLOOKUP("Foin",AlimentsRationBovinsMâles,2,FALSE),0)+(IF(QualitéAlimentsVaches=MAUVAISE,VLOOKUP("Foin",AlimentsRationBovinsFemelles,2,FALSE),0))))))))))))))))</f>
        <v>0</v>
      </c>
      <c r="CC356" s="281"/>
      <c r="CH356" s="276"/>
    </row>
    <row r="357" spans="1:86" ht="12.75" customHeight="1" x14ac:dyDescent="0.2">
      <c r="A357" s="276"/>
      <c r="B357" s="276"/>
      <c r="BB357" s="332" t="str">
        <f t="shared" si="19"/>
        <v>Haricot vert</v>
      </c>
      <c r="BC357" s="333">
        <f t="array" ref="BC357">SUM((IF(QualitéAlimentsVeauxMâles_0_3_mois=BONNE,VLOOKUP("Haricot vert",AlimentsRationBovinsMâles,8,FALSE),0)+(IF(QualitéAlimentsVeauxFemelles_0_3_mois=BONNE,VLOOKUP("Haricot vert",AlimentsRationBovinsFemelles,8,FALSE),0)+(IF(QualitéAlimentsVeauxMâles_3_6_mois=BONNE,VLOOKUP("Haricot vert",AlimentsRationBovinsMâles,7,FALSE),0)+(IF(QualitéAlimentsVeauxFemelles_3_6_mois=BONNE,VLOOKUP("Haricot vert",AlimentsRationBovinsFemelles,7,FALSE),0)+(IF(QualitéAlimentsVeauxMâles_6_12_mois=BONNE,VLOOKUP("Haricot vert",AlimentsRationBovinsMâles,6,FALSE),0)+(IF(QualitéAlimentsVeauxFemelles_6_12_mois=BONNE,VLOOKUP("Haricot vert",AlimentsRationBovinsFemelles,6,FALSE),0)+(IF(QualitéAlimentsTaurillons_12_18_mois=BONNE,VLOOKUP("Haricot vert",AlimentsRationBovinsMâles,5,FALSE),0)+(IF(QualitéAlimentsGénisses_12_18_mois=BONNE,VLOOKUP("Haricot vert",AlimentsRationBovinsFemelles,5,FALSE),0)+(IF(QualitéAlimentsTaurillons_18_24_mois=BONNE,VLOOKUP("Haricot vert",AlimentsRationBovinsMâles,4,FALSE),0)+(IF(QualitéAlimentsGénisses_18_24_mois=BONNE,VLOOKUP("Haricot vert",AlimentsRationBovinsFemelles,4,FALSE),0)+(IF(QualitéAlimentsTaurillons_24_36_mois=BONNE,VLOOKUP("Haricot vert",AlimentsRationBovinsMâles,3,FALSE),0)+(IF(QualitéAlimentsGénisses_24_36_mois=BONNE,VLOOKUP("Haricot vert",AlimentsRationBovinsFemelles,3,FALSE),0)+(IF(QualitéAlimentsTaureaux=BONNE,VLOOKUP("Haricot vert",AlimentsRationBovinsMâles,2,FALSE),0)+(IF(QualitéAlimentsVaches=BONNE,VLOOKUP("Haricot vert",AlimentsRationBovinsFemelles,2,FALSE),0))))))))))))))))</f>
        <v>0</v>
      </c>
      <c r="BD357" s="333">
        <f t="array" ref="BD357">SUM((IF(QualitéAlimentsVeauxMâles_0_3_mois=MOYENNE,VLOOKUP("Haricot vert",AlimentsRationBovinsMâles,8,FALSE),0)+(IF(QualitéAlimentsVeauxFemelles_0_3_mois=MOYENNE,VLOOKUP("Haricot vert",AlimentsRationBovinsFemelles,8,FALSE),0)+(IF(QualitéAlimentsVeauxMâles_3_6_mois=MOYENNE,VLOOKUP("Haricot vert",AlimentsRationBovinsMâles,7,FALSE),0)+(IF(QualitéAlimentsVeauxFemelles_3_6_mois=MOYENNE,VLOOKUP("Haricot vert",AlimentsRationBovinsFemelles,7,FALSE),0)+(IF(QualitéAlimentsVeauxMâles_6_12_mois=MOYENNE,VLOOKUP("Haricot vert",AlimentsRationBovinsMâles,6,FALSE),0)+(IF(QualitéAlimentsVeauxFemelles_6_12_mois=MOYENNE,VLOOKUP("Haricot vert",AlimentsRationBovinsFemelles,6,FALSE),0)+(IF(QualitéAlimentsTaurillons_12_18_mois=MOYENNE,VLOOKUP("Haricot vert",AlimentsRationBovinsMâles,5,FALSE),0)+(IF(QualitéAlimentsGénisses_12_18_mois=MOYENNE,VLOOKUP("Haricot vert",AlimentsRationBovinsFemelles,5,FALSE),0)+(IF(QualitéAlimentsTaurillons_18_24_mois=MOYENNE,VLOOKUP("Haricot vert",AlimentsRationBovinsMâles,4,FALSE),0)+(IF(QualitéAlimentsGénisses_18_24_mois=MOYENNE,VLOOKUP("Haricot vert",AlimentsRationBovinsFemelles,4,FALSE),0)+(IF(QualitéAlimentsTaurillons_24_36_mois=MOYENNE,VLOOKUP("Haricot vert",AlimentsRationBovinsMâles,3,FALSE),0)+(IF(QualitéAlimentsGénisses_24_36_mois=MOYENNE,VLOOKUP("Haricot vert",AlimentsRationBovinsFemelles,3,FALSE),0)+(IF(QualitéAlimentsTaureaux=MOYENNE,VLOOKUP("Haricot vert",AlimentsRationBovinsMâles,2,FALSE),0)+(IF(QualitéAlimentsVaches=MOYENNE,VLOOKUP("Haricot vert",AlimentsRationBovinsFemelles,2,FALSE),0))))))))))))))))</f>
        <v>0</v>
      </c>
      <c r="BE357" s="333">
        <f t="array" ref="BE357">SUM((IF(QualitéAlimentsVeauxMâles_0_3_mois=MAUVAISE,VLOOKUP("Haricot vert",AlimentsRationBovinsMâles,8,FALSE),0)+(IF(QualitéAlimentsVeauxFemelles_0_3_mois=MAUVAISE,VLOOKUP("Haricot vert",AlimentsRationBovinsFemelles,8,FALSE),0)+(IF(QualitéAlimentsVeauxMâles_3_6_mois=MAUVAISE,VLOOKUP("Haricot vert",AlimentsRationBovinsMâles,7,FALSE),0)+(IF(QualitéAlimentsVeauxFemelles_3_6_mois=MAUVAISE,VLOOKUP("Haricot vert",AlimentsRationBovinsFemelles,7,FALSE),0)+(IF(QualitéAlimentsVeauxMâles_6_12_mois=MAUVAISE,VLOOKUP("Haricot vert",AlimentsRationBovinsMâles,6,FALSE),0)+(IF(QualitéAlimentsVeauxFemelles_6_12_mois=MAUVAISE,VLOOKUP("Haricot vert",AlimentsRationBovinsFemelles,6,FALSE),0)+(IF(QualitéAlimentsTaurillons_12_18_mois=MAUVAISE,VLOOKUP("Haricot vert",AlimentsRationBovinsMâles,5,FALSE),0)+(IF(QualitéAlimentsGénisses_12_18_mois=MAUVAISE,VLOOKUP("Haricot vert",AlimentsRationBovinsFemelles,5,FALSE),0)+(IF(QualitéAlimentsTaurillons_18_24_mois=MAUVAISE,VLOOKUP("Haricot vert",AlimentsRationBovinsMâles,4,FALSE),0)+(IF(QualitéAlimentsGénisses_18_24_mois=MAUVAISE,VLOOKUP("Haricot vert",AlimentsRationBovinsFemelles,4,FALSE),0)+(IF(QualitéAlimentsTaurillons_24_36_mois=MAUVAISE,VLOOKUP("Haricot vert",AlimentsRationBovinsMâles,3,FALSE),0)+(IF(QualitéAlimentsGénisses_24_36_mois=MAUVAISE,VLOOKUP("Haricot vert",AlimentsRationBovinsFemelles,3,FALSE),0)+(IF(QualitéAlimentsTaureaux=MAUVAISE,VLOOKUP("Haricot vert",AlimentsRationBovinsMâles,2,FALSE),0)+(IF(QualitéAlimentsVaches=MAUVAISE,VLOOKUP("Haricot vert",AlimentsRationBovinsFemelles,2,FALSE),0))))))))))))))))</f>
        <v>0</v>
      </c>
      <c r="CC357" s="281"/>
      <c r="CH357" s="276"/>
    </row>
    <row r="358" spans="1:86" ht="12.75" customHeight="1" x14ac:dyDescent="0.2">
      <c r="A358" s="276"/>
      <c r="B358" s="276"/>
      <c r="BB358" s="332" t="str">
        <f t="shared" si="19"/>
        <v>Lentille</v>
      </c>
      <c r="BC358" s="333">
        <f t="array" ref="BC358">SUM((IF(QualitéAlimentsVeauxMâles_0_3_mois=BONNE,VLOOKUP("Lentille",AlimentsRationBovinsMâles,8,FALSE),0)+(IF(QualitéAlimentsVeauxFemelles_0_3_mois=BONNE,VLOOKUP("Lentille",AlimentsRationBovinsFemelles,8,FALSE),0)+(IF(QualitéAlimentsVeauxMâles_3_6_mois=BONNE,VLOOKUP("Lentille",AlimentsRationBovinsMâles,7,FALSE),0)+(IF(QualitéAlimentsVeauxFemelles_3_6_mois=BONNE,VLOOKUP("Lentille",AlimentsRationBovinsFemelles,7,FALSE),0)+(IF(QualitéAlimentsVeauxMâles_6_12_mois=BONNE,VLOOKUP("Lentille",AlimentsRationBovinsMâles,6,FALSE),0)+(IF(QualitéAlimentsVeauxFemelles_6_12_mois=BONNE,VLOOKUP("Lentille",AlimentsRationBovinsFemelles,6,FALSE),0)+(IF(QualitéAlimentsTaurillons_12_18_mois=BONNE,VLOOKUP("Lentille",AlimentsRationBovinsMâles,5,FALSE),0)+(IF(QualitéAlimentsGénisses_12_18_mois=BONNE,VLOOKUP("Lentille",AlimentsRationBovinsFemelles,5,FALSE),0)+(IF(QualitéAlimentsTaurillons_18_24_mois=BONNE,VLOOKUP("Lentille",AlimentsRationBovinsMâles,4,FALSE),0)+(IF(QualitéAlimentsGénisses_18_24_mois=BONNE,VLOOKUP("Lentille",AlimentsRationBovinsFemelles,4,FALSE),0)+(IF(QualitéAlimentsTaurillons_24_36_mois=BONNE,VLOOKUP("Lentille",AlimentsRationBovinsMâles,3,FALSE),0)+(IF(QualitéAlimentsGénisses_24_36_mois=BONNE,VLOOKUP("Lentille",AlimentsRationBovinsFemelles,3,FALSE),0)+(IF(QualitéAlimentsTaureaux=BONNE,VLOOKUP("Lentille",AlimentsRationBovinsMâles,2,FALSE),0)+(IF(QualitéAlimentsVaches=BONNE,VLOOKUP("Lentille",AlimentsRationBovinsFemelles,2,FALSE),0))))))))))))))))</f>
        <v>0</v>
      </c>
      <c r="BD358" s="333">
        <f t="array" ref="BD358">SUM((IF(QualitéAlimentsVeauxMâles_0_3_mois=MOYENNE,VLOOKUP("Lentille",AlimentsRationBovinsMâles,8,FALSE),0)+(IF(QualitéAlimentsVeauxFemelles_0_3_mois=MOYENNE,VLOOKUP("Lentille",AlimentsRationBovinsFemelles,8,FALSE),0)+(IF(QualitéAlimentsVeauxMâles_3_6_mois=MOYENNE,VLOOKUP("Lentille",AlimentsRationBovinsMâles,7,FALSE),0)+(IF(QualitéAlimentsVeauxFemelles_3_6_mois=MOYENNE,VLOOKUP("Lentille",AlimentsRationBovinsFemelles,7,FALSE),0)+(IF(QualitéAlimentsVeauxMâles_6_12_mois=MOYENNE,VLOOKUP("Lentille",AlimentsRationBovinsMâles,6,FALSE),0)+(IF(QualitéAlimentsVeauxFemelles_6_12_mois=MOYENNE,VLOOKUP("Lentille",AlimentsRationBovinsFemelles,6,FALSE),0)+(IF(QualitéAlimentsTaurillons_12_18_mois=MOYENNE,VLOOKUP("Lentille",AlimentsRationBovinsMâles,5,FALSE),0)+(IF(QualitéAlimentsGénisses_12_18_mois=MOYENNE,VLOOKUP("Lentille",AlimentsRationBovinsFemelles,5,FALSE),0)+(IF(QualitéAlimentsTaurillons_18_24_mois=MOYENNE,VLOOKUP("Lentille",AlimentsRationBovinsMâles,4,FALSE),0)+(IF(QualitéAlimentsGénisses_18_24_mois=MOYENNE,VLOOKUP("Lentille",AlimentsRationBovinsFemelles,4,FALSE),0)+(IF(QualitéAlimentsTaurillons_24_36_mois=MOYENNE,VLOOKUP("Lentille",AlimentsRationBovinsMâles,3,FALSE),0)+(IF(QualitéAlimentsGénisses_24_36_mois=MOYENNE,VLOOKUP("Lentille",AlimentsRationBovinsFemelles,3,FALSE),0)+(IF(QualitéAlimentsTaureaux=MOYENNE,VLOOKUP("Lentille",AlimentsRationBovinsMâles,2,FALSE),0)+(IF(QualitéAlimentsVaches=MOYENNE,VLOOKUP("Lentille",AlimentsRationBovinsFemelles,2,FALSE),0))))))))))))))))</f>
        <v>0</v>
      </c>
      <c r="BE358" s="333">
        <f t="array" ref="BE358">SUM((IF(QualitéAlimentsVeauxMâles_0_3_mois=MAUVAISE,VLOOKUP("Lentille",AlimentsRationBovinsMâles,8,FALSE),0)+(IF(QualitéAlimentsVeauxFemelles_0_3_mois=MAUVAISE,VLOOKUP("Lentille",AlimentsRationBovinsFemelles,8,FALSE),0)+(IF(QualitéAlimentsVeauxMâles_3_6_mois=MAUVAISE,VLOOKUP("Lentille",AlimentsRationBovinsMâles,7,FALSE),0)+(IF(QualitéAlimentsVeauxFemelles_3_6_mois=MAUVAISE,VLOOKUP("Lentille",AlimentsRationBovinsFemelles,7,FALSE),0)+(IF(QualitéAlimentsVeauxMâles_6_12_mois=MAUVAISE,VLOOKUP("Lentille",AlimentsRationBovinsMâles,6,FALSE),0)+(IF(QualitéAlimentsVeauxFemelles_6_12_mois=MAUVAISE,VLOOKUP("Lentille",AlimentsRationBovinsFemelles,6,FALSE),0)+(IF(QualitéAlimentsTaurillons_12_18_mois=MAUVAISE,VLOOKUP("Lentille",AlimentsRationBovinsMâles,5,FALSE),0)+(IF(QualitéAlimentsGénisses_12_18_mois=MAUVAISE,VLOOKUP("Lentille",AlimentsRationBovinsFemelles,5,FALSE),0)+(IF(QualitéAlimentsTaurillons_18_24_mois=MAUVAISE,VLOOKUP("Lentille",AlimentsRationBovinsMâles,4,FALSE),0)+(IF(QualitéAlimentsGénisses_18_24_mois=MAUVAISE,VLOOKUP("Lentille",AlimentsRationBovinsFemelles,4,FALSE),0)+(IF(QualitéAlimentsTaurillons_24_36_mois=MAUVAISE,VLOOKUP("Lentille",AlimentsRationBovinsMâles,3,FALSE),0)+(IF(QualitéAlimentsGénisses_24_36_mois=MAUVAISE,VLOOKUP("Lentille",AlimentsRationBovinsFemelles,3,FALSE),0)+(IF(QualitéAlimentsTaureaux=MAUVAISE,VLOOKUP("Lentille",AlimentsRationBovinsMâles,2,FALSE),0)+(IF(QualitéAlimentsVaches=MAUVAISE,VLOOKUP("Lentille",AlimentsRationBovinsFemelles,2,FALSE),0))))))))))))))))</f>
        <v>0</v>
      </c>
      <c r="CC358" s="281"/>
      <c r="CG358" s="276"/>
      <c r="CH358" s="277"/>
    </row>
    <row r="359" spans="1:86" ht="12.75" customHeight="1" x14ac:dyDescent="0.2">
      <c r="A359" s="276"/>
      <c r="B359" s="276"/>
      <c r="BB359" s="332" t="str">
        <f t="shared" si="19"/>
        <v>Maïs ensilé</v>
      </c>
      <c r="BC359" s="333">
        <f t="array" ref="BC359">SUM((IF(QualitéAlimentsVeauxMâles_0_3_mois=BONNE,VLOOKUP("Maïs ensilé",AlimentsRationBovinsMâles,8,FALSE),0)+(IF(QualitéAlimentsVeauxFemelles_0_3_mois=BONNE,VLOOKUP("Maïs ensilé",AlimentsRationBovinsFemelles,8,FALSE),0)+(IF(QualitéAlimentsVeauxMâles_3_6_mois=BONNE,VLOOKUP("Maïs ensilé",AlimentsRationBovinsMâles,7,FALSE),0)+(IF(QualitéAlimentsVeauxFemelles_3_6_mois=BONNE,VLOOKUP("Maïs ensilé",AlimentsRationBovinsFemelles,7,FALSE),0)+(IF(QualitéAlimentsVeauxMâles_6_12_mois=BONNE,VLOOKUP("Maïs ensilé",AlimentsRationBovinsMâles,6,FALSE),0)+(IF(QualitéAlimentsVeauxFemelles_6_12_mois=BONNE,VLOOKUP("Maïs ensilé",AlimentsRationBovinsFemelles,6,FALSE),0)+(IF(QualitéAlimentsTaurillons_12_18_mois=BONNE,VLOOKUP("Maïs ensilé",AlimentsRationBovinsMâles,5,FALSE),0)+(IF(QualitéAlimentsGénisses_12_18_mois=BONNE,VLOOKUP("Maïs ensilé",AlimentsRationBovinsFemelles,5,FALSE),0)+(IF(QualitéAlimentsTaurillons_18_24_mois=BONNE,VLOOKUP("Maïs ensilé",AlimentsRationBovinsMâles,4,FALSE),0)+(IF(QualitéAlimentsGénisses_18_24_mois=BONNE,VLOOKUP("Maïs ensilé",AlimentsRationBovinsFemelles,4,FALSE),0)+(IF(QualitéAlimentsTaurillons_24_36_mois=BONNE,VLOOKUP("Maïs ensilé",AlimentsRationBovinsMâles,3,FALSE),0)+(IF(QualitéAlimentsGénisses_24_36_mois=BONNE,VLOOKUP("Maïs ensilé",AlimentsRationBovinsFemelles,3,FALSE),0)+(IF(QualitéAlimentsTaureaux=BONNE,VLOOKUP("Maïs ensilé",AlimentsRationBovinsMâles,2,FALSE),0)+(IF(QualitéAlimentsVaches=BONNE,VLOOKUP("Maïs ensilé",AlimentsRationBovinsFemelles,2,FALSE),0))))))))))))))))</f>
        <v>0</v>
      </c>
      <c r="BD359" s="333">
        <f t="array" ref="BD359">SUM((IF(QualitéAlimentsVeauxMâles_0_3_mois=MOYENNE,VLOOKUP("Maïs ensilé",AlimentsRationBovinsMâles,8,FALSE),0)+(IF(QualitéAlimentsVeauxFemelles_0_3_mois=MOYENNE,VLOOKUP("Maïs ensilé",AlimentsRationBovinsFemelles,8,FALSE),0)+(IF(QualitéAlimentsVeauxMâles_3_6_mois=MOYENNE,VLOOKUP("Maïs ensilé",AlimentsRationBovinsMâles,7,FALSE),0)+(IF(QualitéAlimentsVeauxFemelles_3_6_mois=MOYENNE,VLOOKUP("Maïs ensilé",AlimentsRationBovinsFemelles,7,FALSE),0)+(IF(QualitéAlimentsVeauxMâles_6_12_mois=MOYENNE,VLOOKUP("Maïs ensilé",AlimentsRationBovinsMâles,6,FALSE),0)+(IF(QualitéAlimentsVeauxFemelles_6_12_mois=MOYENNE,VLOOKUP("Maïs ensilé",AlimentsRationBovinsFemelles,6,FALSE),0)+(IF(QualitéAlimentsTaurillons_12_18_mois=MOYENNE,VLOOKUP("Maïs ensilé",AlimentsRationBovinsMâles,5,FALSE),0)+(IF(QualitéAlimentsGénisses_12_18_mois=MOYENNE,VLOOKUP("Maïs ensilé",AlimentsRationBovinsFemelles,5,FALSE),0)+(IF(QualitéAlimentsTaurillons_18_24_mois=MOYENNE,VLOOKUP("Maïs ensilé",AlimentsRationBovinsMâles,4,FALSE),0)+(IF(QualitéAlimentsGénisses_18_24_mois=MOYENNE,VLOOKUP("Maïs ensilé",AlimentsRationBovinsFemelles,4,FALSE),0)+(IF(QualitéAlimentsTaurillons_24_36_mois=MOYENNE,VLOOKUP("Maïs ensilé",AlimentsRationBovinsMâles,3,FALSE),0)+(IF(QualitéAlimentsGénisses_24_36_mois=MOYENNE,VLOOKUP("Maïs ensilé",AlimentsRationBovinsFemelles,3,FALSE),0)+(IF(QualitéAlimentsTaureaux=MOYENNE,VLOOKUP("Maïs ensilé",AlimentsRationBovinsMâles,2,FALSE),0)+(IF(QualitéAlimentsVaches=MOYENNE,VLOOKUP("Maïs ensilé",AlimentsRationBovinsFemelles,2,FALSE),0))))))))))))))))</f>
        <v>0</v>
      </c>
      <c r="BE359" s="333">
        <f t="array" ref="BE359">SUM((IF(QualitéAlimentsVeauxMâles_0_3_mois=MAUVAISE,VLOOKUP("Maïs ensilé",AlimentsRationBovinsMâles,8,FALSE),0)+(IF(QualitéAlimentsVeauxFemelles_0_3_mois=MAUVAISE,VLOOKUP("Maïs ensilé",AlimentsRationBovinsFemelles,8,FALSE),0)+(IF(QualitéAlimentsVeauxMâles_3_6_mois=MAUVAISE,VLOOKUP("Maïs ensilé",AlimentsRationBovinsMâles,7,FALSE),0)+(IF(QualitéAlimentsVeauxFemelles_3_6_mois=MAUVAISE,VLOOKUP("Maïs ensilé",AlimentsRationBovinsFemelles,7,FALSE),0)+(IF(QualitéAlimentsVeauxMâles_6_12_mois=MAUVAISE,VLOOKUP("Maïs ensilé",AlimentsRationBovinsMâles,6,FALSE),0)+(IF(QualitéAlimentsVeauxFemelles_6_12_mois=MAUVAISE,VLOOKUP("Maïs ensilé",AlimentsRationBovinsFemelles,6,FALSE),0)+(IF(QualitéAlimentsTaurillons_12_18_mois=MAUVAISE,VLOOKUP("Maïs ensilé",AlimentsRationBovinsMâles,5,FALSE),0)+(IF(QualitéAlimentsGénisses_12_18_mois=MAUVAISE,VLOOKUP("Maïs ensilé",AlimentsRationBovinsFemelles,5,FALSE),0)+(IF(QualitéAlimentsTaurillons_18_24_mois=MAUVAISE,VLOOKUP("Maïs ensilé",AlimentsRationBovinsMâles,4,FALSE),0)+(IF(QualitéAlimentsGénisses_18_24_mois=MAUVAISE,VLOOKUP("Maïs ensilé",AlimentsRationBovinsFemelles,4,FALSE),0)+(IF(QualitéAlimentsTaurillons_24_36_mois=MAUVAISE,VLOOKUP("Maïs ensilé",AlimentsRationBovinsMâles,3,FALSE),0)+(IF(QualitéAlimentsGénisses_24_36_mois=MAUVAISE,VLOOKUP("Maïs ensilé",AlimentsRationBovinsFemelles,3,FALSE),0)+(IF(QualitéAlimentsTaureaux=MAUVAISE,VLOOKUP("Maïs ensilé",AlimentsRationBovinsMâles,2,FALSE),0)+(IF(QualitéAlimentsVaches=MAUVAISE,VLOOKUP("Maïs ensilé",AlimentsRationBovinsFemelles,2,FALSE),0))))))))))))))))</f>
        <v>0</v>
      </c>
      <c r="CF359" s="277"/>
      <c r="CG359" s="276"/>
      <c r="CH359" s="276"/>
    </row>
    <row r="360" spans="1:86" ht="12.75" customHeight="1" x14ac:dyDescent="0.2">
      <c r="A360" s="276"/>
      <c r="B360" s="276"/>
      <c r="BB360" s="332" t="str">
        <f t="shared" si="19"/>
        <v>Maïs grain</v>
      </c>
      <c r="BC360" s="333">
        <f t="array" ref="BC360">SUM((IF(QualitéAlimentsVeauxMâles_0_3_mois=BONNE,VLOOKUP("Maïs grain",AlimentsRationBovinsMâles,8,FALSE),0)+(IF(QualitéAlimentsVeauxFemelles_0_3_mois=BONNE,VLOOKUP("Maïs grain",AlimentsRationBovinsFemelles,8,FALSE),0)+(IF(QualitéAlimentsVeauxMâles_3_6_mois=BONNE,VLOOKUP("Maïs grain",AlimentsRationBovinsMâles,7,FALSE),0)+(IF(QualitéAlimentsVeauxFemelles_3_6_mois=BONNE,VLOOKUP("Maïs grain",AlimentsRationBovinsFemelles,7,FALSE),0)+(IF(QualitéAlimentsVeauxMâles_6_12_mois=BONNE,VLOOKUP("Maïs grain",AlimentsRationBovinsMâles,6,FALSE),0)+(IF(QualitéAlimentsVeauxFemelles_6_12_mois=BONNE,VLOOKUP("Maïs grain",AlimentsRationBovinsFemelles,6,FALSE),0)+(IF(QualitéAlimentsTaurillons_12_18_mois=BONNE,VLOOKUP("Maïs grain",AlimentsRationBovinsMâles,5,FALSE),0)+(IF(QualitéAlimentsGénisses_12_18_mois=BONNE,VLOOKUP("Maïs grain",AlimentsRationBovinsFemelles,5,FALSE),0)+(IF(QualitéAlimentsTaurillons_18_24_mois=BONNE,VLOOKUP("Maïs grain",AlimentsRationBovinsMâles,4,FALSE),0)+(IF(QualitéAlimentsGénisses_18_24_mois=BONNE,VLOOKUP("Maïs grain",AlimentsRationBovinsFemelles,4,FALSE),0)+(IF(QualitéAlimentsTaurillons_24_36_mois=BONNE,VLOOKUP("Maïs grain",AlimentsRationBovinsMâles,3,FALSE),0)+(IF(QualitéAlimentsGénisses_24_36_mois=BONNE,VLOOKUP("Maïs grain",AlimentsRationBovinsFemelles,3,FALSE),0)+(IF(QualitéAlimentsTaureaux=BONNE,VLOOKUP("Maïs grain",AlimentsRationBovinsMâles,2,FALSE),0)+(IF(QualitéAlimentsVaches=BONNE,VLOOKUP("Maïs grain",AlimentsRationBovinsFemelles,2,FALSE),0))))))))))))))))</f>
        <v>0</v>
      </c>
      <c r="BD360" s="333">
        <f t="array" ref="BD360">SUM((IF(QualitéAlimentsVeauxMâles_0_3_mois=MOYENNE,VLOOKUP("Maïs grain",AlimentsRationBovinsMâles,8,FALSE),0)+(IF(QualitéAlimentsVeauxFemelles_0_3_mois=MOYENNE,VLOOKUP("Maïs grain",AlimentsRationBovinsFemelles,8,FALSE),0)+(IF(QualitéAlimentsVeauxMâles_3_6_mois=MOYENNE,VLOOKUP("Maïs grain",AlimentsRationBovinsMâles,7,FALSE),0)+(IF(QualitéAlimentsVeauxFemelles_3_6_mois=MOYENNE,VLOOKUP("Maïs grain",AlimentsRationBovinsFemelles,7,FALSE),0)+(IF(QualitéAlimentsVeauxMâles_6_12_mois=MOYENNE,VLOOKUP("Maïs grain",AlimentsRationBovinsMâles,6,FALSE),0)+(IF(QualitéAlimentsVeauxFemelles_6_12_mois=MOYENNE,VLOOKUP("Maïs grain",AlimentsRationBovinsFemelles,6,FALSE),0)+(IF(QualitéAlimentsTaurillons_12_18_mois=MOYENNE,VLOOKUP("Maïs grain",AlimentsRationBovinsMâles,5,FALSE),0)+(IF(QualitéAlimentsGénisses_12_18_mois=MOYENNE,VLOOKUP("Maïs grain",AlimentsRationBovinsFemelles,5,FALSE),0)+(IF(QualitéAlimentsTaurillons_18_24_mois=MOYENNE,VLOOKUP("Maïs grain",AlimentsRationBovinsMâles,4,FALSE),0)+(IF(QualitéAlimentsGénisses_18_24_mois=MOYENNE,VLOOKUP("Maïs grain",AlimentsRationBovinsFemelles,4,FALSE),0)+(IF(QualitéAlimentsTaurillons_24_36_mois=MOYENNE,VLOOKUP("Maïs grain",AlimentsRationBovinsMâles,3,FALSE),0)+(IF(QualitéAlimentsGénisses_24_36_mois=MOYENNE,VLOOKUP("Maïs grain",AlimentsRationBovinsFemelles,3,FALSE),0)+(IF(QualitéAlimentsTaureaux=MOYENNE,VLOOKUP("Maïs grain",AlimentsRationBovinsMâles,2,FALSE),0)+(IF(QualitéAlimentsVaches=MOYENNE,VLOOKUP("Maïs grain",AlimentsRationBovinsFemelles,2,FALSE),0))))))))))))))))</f>
        <v>0</v>
      </c>
      <c r="BE360" s="333">
        <f t="array" ref="BE360">SUM((IF(QualitéAlimentsVeauxMâles_0_3_mois=MAUVAISE,VLOOKUP("Maïs grain",AlimentsRationBovinsMâles,8,FALSE),0)+(IF(QualitéAlimentsVeauxFemelles_0_3_mois=MAUVAISE,VLOOKUP("Maïs grain",AlimentsRationBovinsFemelles,8,FALSE),0)+(IF(QualitéAlimentsVeauxMâles_3_6_mois=MAUVAISE,VLOOKUP("Maïs grain",AlimentsRationBovinsMâles,7,FALSE),0)+(IF(QualitéAlimentsVeauxFemelles_3_6_mois=MAUVAISE,VLOOKUP("Maïs grain",AlimentsRationBovinsFemelles,7,FALSE),0)+(IF(QualitéAlimentsVeauxMâles_6_12_mois=MAUVAISE,VLOOKUP("Maïs grain",AlimentsRationBovinsMâles,6,FALSE),0)+(IF(QualitéAlimentsVeauxFemelles_6_12_mois=MAUVAISE,VLOOKUP("Maïs grain",AlimentsRationBovinsFemelles,6,FALSE),0)+(IF(QualitéAlimentsTaurillons_12_18_mois=MAUVAISE,VLOOKUP("Maïs grain",AlimentsRationBovinsMâles,5,FALSE),0)+(IF(QualitéAlimentsGénisses_12_18_mois=MAUVAISE,VLOOKUP("Maïs grain",AlimentsRationBovinsFemelles,5,FALSE),0)+(IF(QualitéAlimentsTaurillons_18_24_mois=MAUVAISE,VLOOKUP("Maïs grain",AlimentsRationBovinsMâles,4,FALSE),0)+(IF(QualitéAlimentsGénisses_18_24_mois=MAUVAISE,VLOOKUP("Maïs grain",AlimentsRationBovinsFemelles,4,FALSE),0)+(IF(QualitéAlimentsTaurillons_24_36_mois=MAUVAISE,VLOOKUP("Maïs grain",AlimentsRationBovinsMâles,3,FALSE),0)+(IF(QualitéAlimentsGénisses_24_36_mois=MAUVAISE,VLOOKUP("Maïs grain",AlimentsRationBovinsFemelles,3,FALSE),0)+(IF(QualitéAlimentsTaureaux=MAUVAISE,VLOOKUP("Maïs grain",AlimentsRationBovinsMâles,2,FALSE),0)+(IF(QualitéAlimentsVaches=MAUVAISE,VLOOKUP("Maïs grain",AlimentsRationBovinsFemelles,2,FALSE),0))))))))))))))))</f>
        <v>0</v>
      </c>
      <c r="CF360" s="277"/>
      <c r="CG360" s="276"/>
      <c r="CH360" s="276"/>
    </row>
    <row r="361" spans="1:86" ht="12.75" customHeight="1" x14ac:dyDescent="0.2">
      <c r="A361" s="276"/>
      <c r="B361" s="276"/>
      <c r="BB361" s="332" t="str">
        <f t="shared" si="19"/>
        <v>Minéraux + vitamines</v>
      </c>
      <c r="BC361" s="333">
        <f t="array" ref="BC361">SUM((IF(QualitéAlimentsVeauxMâles_0_3_mois=BONNE,VLOOKUP("Minéraux + vitamines",AlimentsRationBovinsMâles,8,FALSE),0)+(IF(QualitéAlimentsVeauxFemelles_0_3_mois=BONNE,VLOOKUP("Minéraux + vitamines",AlimentsRationBovinsFemelles,8,FALSE),0)+(IF(QualitéAlimentsVeauxMâles_3_6_mois=BONNE,VLOOKUP("Minéraux + vitamines",AlimentsRationBovinsMâles,7,FALSE),0)+(IF(QualitéAlimentsVeauxFemelles_3_6_mois=BONNE,VLOOKUP("Minéraux + vitamines",AlimentsRationBovinsFemelles,7,FALSE),0)+(IF(QualitéAlimentsVeauxMâles_6_12_mois=BONNE,VLOOKUP("Minéraux + vitamines",AlimentsRationBovinsMâles,6,FALSE),0)+(IF(QualitéAlimentsVeauxFemelles_6_12_mois=BONNE,VLOOKUP("Minéraux + vitamines",AlimentsRationBovinsFemelles,6,FALSE),0)+(IF(QualitéAlimentsTaurillons_12_18_mois=BONNE,VLOOKUP("Minéraux + vitamines",AlimentsRationBovinsMâles,5,FALSE),0)+(IF(QualitéAlimentsGénisses_12_18_mois=BONNE,VLOOKUP("Minéraux + vitamines",AlimentsRationBovinsFemelles,5,FALSE),0)+(IF(QualitéAlimentsTaurillons_18_24_mois=BONNE,VLOOKUP("Minéraux + vitamines",AlimentsRationBovinsMâles,4,FALSE),0)+(IF(QualitéAlimentsGénisses_18_24_mois=BONNE,VLOOKUP("Minéraux + vitamines",AlimentsRationBovinsFemelles,4,FALSE),0)+(IF(QualitéAlimentsTaurillons_24_36_mois=BONNE,VLOOKUP("Minéraux + vitamines",AlimentsRationBovinsMâles,3,FALSE),0)+(IF(QualitéAlimentsGénisses_24_36_mois=BONNE,VLOOKUP("Minéraux + vitamines",AlimentsRationBovinsFemelles,3,FALSE),0)+(IF(QualitéAlimentsTaureaux=BONNE,VLOOKUP("Minéraux + vitamines",AlimentsRationBovinsMâles,2,FALSE),0)+(IF(QualitéAlimentsVaches=BONNE,VLOOKUP("Minéraux + vitamines",AlimentsRationBovinsFemelles,2,FALSE),0))))))))))))))))</f>
        <v>0</v>
      </c>
      <c r="BD361" s="333">
        <f t="array" ref="BD361">SUM((IF(QualitéAlimentsVeauxMâles_0_3_mois=MOYENNE,VLOOKUP("Minéraux + vitamines",AlimentsRationBovinsMâles,8,FALSE),0)+(IF(QualitéAlimentsVeauxFemelles_0_3_mois=MOYENNE,VLOOKUP("Minéraux + vitamines",AlimentsRationBovinsFemelles,8,FALSE),0)+(IF(QualitéAlimentsVeauxMâles_3_6_mois=MOYENNE,VLOOKUP("Minéraux + vitamines",AlimentsRationBovinsMâles,7,FALSE),0)+(IF(QualitéAlimentsVeauxFemelles_3_6_mois=MOYENNE,VLOOKUP("Minéraux + vitamines",AlimentsRationBovinsFemelles,7,FALSE),0)+(IF(QualitéAlimentsVeauxMâles_6_12_mois=MOYENNE,VLOOKUP("Minéraux + vitamines",AlimentsRationBovinsMâles,6,FALSE),0)+(IF(QualitéAlimentsVeauxFemelles_6_12_mois=MOYENNE,VLOOKUP("Minéraux + vitamines",AlimentsRationBovinsFemelles,6,FALSE),0)+(IF(QualitéAlimentsTaurillons_12_18_mois=MOYENNE,VLOOKUP("Minéraux + vitamines",AlimentsRationBovinsMâles,5,FALSE),0)+(IF(QualitéAlimentsGénisses_12_18_mois=MOYENNE,VLOOKUP("Minéraux + vitamines",AlimentsRationBovinsFemelles,5,FALSE),0)+(IF(QualitéAlimentsTaurillons_18_24_mois=MOYENNE,VLOOKUP("Minéraux + vitamines",AlimentsRationBovinsMâles,4,FALSE),0)+(IF(QualitéAlimentsGénisses_18_24_mois=MOYENNE,VLOOKUP("Minéraux + vitamines",AlimentsRationBovinsFemelles,4,FALSE),0)+(IF(QualitéAlimentsTaurillons_24_36_mois=MOYENNE,VLOOKUP("Minéraux + vitamines",AlimentsRationBovinsMâles,3,FALSE),0)+(IF(QualitéAlimentsGénisses_24_36_mois=MOYENNE,VLOOKUP("Minéraux + vitamines",AlimentsRationBovinsFemelles,3,FALSE),0)+(IF(QualitéAlimentsTaureaux=MOYENNE,VLOOKUP("Minéraux + vitamines",AlimentsRationBovinsMâles,2,FALSE),0)+(IF(QualitéAlimentsVaches=MOYENNE,VLOOKUP("Minéraux + vitamines",AlimentsRationBovinsFemelles,2,FALSE),0))))))))))))))))</f>
        <v>0</v>
      </c>
      <c r="BE361" s="333">
        <f t="array" ref="BE361">SUM((IF(QualitéAlimentsVeauxMâles_0_3_mois=MAUVAISE,VLOOKUP("Minéraux + vitamines",AlimentsRationBovinsMâles,8,FALSE),0)+(IF(QualitéAlimentsVeauxFemelles_0_3_mois=MAUVAISE,VLOOKUP("Minéraux + vitamines",AlimentsRationBovinsFemelles,8,FALSE),0)+(IF(QualitéAlimentsVeauxMâles_3_6_mois=MAUVAISE,VLOOKUP("Minéraux + vitamines",AlimentsRationBovinsMâles,7,FALSE),0)+(IF(QualitéAlimentsVeauxFemelles_3_6_mois=MAUVAISE,VLOOKUP("Minéraux + vitamines",AlimentsRationBovinsFemelles,7,FALSE),0)+(IF(QualitéAlimentsVeauxMâles_6_12_mois=MAUVAISE,VLOOKUP("Minéraux + vitamines",AlimentsRationBovinsMâles,6,FALSE),0)+(IF(QualitéAlimentsVeauxFemelles_6_12_mois=MAUVAISE,VLOOKUP("Minéraux + vitamines",AlimentsRationBovinsFemelles,6,FALSE),0)+(IF(QualitéAlimentsTaurillons_12_18_mois=MAUVAISE,VLOOKUP("Minéraux + vitamines",AlimentsRationBovinsMâles,5,FALSE),0)+(IF(QualitéAlimentsGénisses_12_18_mois=MAUVAISE,VLOOKUP("Minéraux + vitamines",AlimentsRationBovinsFemelles,5,FALSE),0)+(IF(QualitéAlimentsTaurillons_18_24_mois=MAUVAISE,VLOOKUP("Minéraux + vitamines",AlimentsRationBovinsMâles,4,FALSE),0)+(IF(QualitéAlimentsGénisses_18_24_mois=MAUVAISE,VLOOKUP("Minéraux + vitamines",AlimentsRationBovinsFemelles,4,FALSE),0)+(IF(QualitéAlimentsTaurillons_24_36_mois=MAUVAISE,VLOOKUP("Minéraux + vitamines",AlimentsRationBovinsMâles,3,FALSE),0)+(IF(QualitéAlimentsGénisses_24_36_mois=MAUVAISE,VLOOKUP("Minéraux + vitamines",AlimentsRationBovinsFemelles,3,FALSE),0)+(IF(QualitéAlimentsTaureaux=MAUVAISE,VLOOKUP("Minéraux + vitamines",AlimentsRationBovinsMâles,2,FALSE),0)+(IF(QualitéAlimentsVaches=MAUVAISE,VLOOKUP("Minéraux + vitamines",AlimentsRationBovinsFemelles,2,FALSE),0))))))))))))))))</f>
        <v>0</v>
      </c>
      <c r="CF361" s="277"/>
      <c r="CG361" s="276"/>
      <c r="CH361" s="276"/>
    </row>
    <row r="362" spans="1:86" ht="12.75" customHeight="1" x14ac:dyDescent="0.2">
      <c r="A362" s="276"/>
      <c r="B362" s="276"/>
      <c r="BB362" s="332" t="str">
        <f t="shared" si="19"/>
        <v>Orge</v>
      </c>
      <c r="BC362" s="333">
        <f t="array" ref="BC362">SUM((IF(QualitéAlimentsVeauxMâles_0_3_mois=BONNE,VLOOKUP("Orge",AlimentsRationBovinsMâles,8,FALSE),0)+(IF(QualitéAlimentsVeauxFemelles_0_3_mois=BONNE,VLOOKUP("Orge",AlimentsRationBovinsFemelles,8,FALSE),0)+(IF(QualitéAlimentsVeauxMâles_3_6_mois=BONNE,VLOOKUP("Orge",AlimentsRationBovinsMâles,7,FALSE),0)+(IF(QualitéAlimentsVeauxFemelles_3_6_mois=BONNE,VLOOKUP("Orge",AlimentsRationBovinsFemelles,7,FALSE),0)+(IF(QualitéAlimentsVeauxMâles_6_12_mois=BONNE,VLOOKUP("Orge",AlimentsRationBovinsMâles,6,FALSE),0)+(IF(QualitéAlimentsVeauxFemelles_6_12_mois=BONNE,VLOOKUP("Orge",AlimentsRationBovinsFemelles,6,FALSE),0)+(IF(QualitéAlimentsTaurillons_12_18_mois=BONNE,VLOOKUP("Orge",AlimentsRationBovinsMâles,5,FALSE),0)+(IF(QualitéAlimentsGénisses_12_18_mois=BONNE,VLOOKUP("Orge",AlimentsRationBovinsFemelles,5,FALSE),0)+(IF(QualitéAlimentsTaurillons_18_24_mois=BONNE,VLOOKUP("Orge",AlimentsRationBovinsMâles,4,FALSE),0)+(IF(QualitéAlimentsGénisses_18_24_mois=BONNE,VLOOKUP("Orge",AlimentsRationBovinsFemelles,4,FALSE),0)+(IF(QualitéAlimentsTaurillons_24_36_mois=BONNE,VLOOKUP("Orge",AlimentsRationBovinsMâles,3,FALSE),0)+(IF(QualitéAlimentsGénisses_24_36_mois=BONNE,VLOOKUP("Orge",AlimentsRationBovinsFemelles,3,FALSE),0)+(IF(QualitéAlimentsTaureaux=BONNE,VLOOKUP("Orge",AlimentsRationBovinsMâles,2,FALSE),0)+(IF(QualitéAlimentsVaches=BONNE,VLOOKUP("Orge",AlimentsRationBovinsFemelles,2,FALSE),0))))))))))))))))</f>
        <v>0</v>
      </c>
      <c r="BD362" s="333">
        <f t="array" ref="BD362">SUM((IF(QualitéAlimentsVeauxMâles_0_3_mois=MOYENNE,VLOOKUP("Orge",AlimentsRationBovinsMâles,8,FALSE),0)+(IF(QualitéAlimentsVeauxFemelles_0_3_mois=MOYENNE,VLOOKUP("Orge",AlimentsRationBovinsFemelles,8,FALSE),0)+(IF(QualitéAlimentsVeauxMâles_3_6_mois=MOYENNE,VLOOKUP("Orge",AlimentsRationBovinsMâles,7,FALSE),0)+(IF(QualitéAlimentsVeauxFemelles_3_6_mois=MOYENNE,VLOOKUP("Orge",AlimentsRationBovinsFemelles,7,FALSE),0)+(IF(QualitéAlimentsVeauxMâles_6_12_mois=MOYENNE,VLOOKUP("Orge",AlimentsRationBovinsMâles,6,FALSE),0)+(IF(QualitéAlimentsVeauxFemelles_6_12_mois=MOYENNE,VLOOKUP("Orge",AlimentsRationBovinsFemelles,6,FALSE),0)+(IF(QualitéAlimentsTaurillons_12_18_mois=MOYENNE,VLOOKUP("Orge",AlimentsRationBovinsMâles,5,FALSE),0)+(IF(QualitéAlimentsGénisses_12_18_mois=MOYENNE,VLOOKUP("Orge",AlimentsRationBovinsFemelles,5,FALSE),0)+(IF(QualitéAlimentsTaurillons_18_24_mois=MOYENNE,VLOOKUP("Orge",AlimentsRationBovinsMâles,4,FALSE),0)+(IF(QualitéAlimentsGénisses_18_24_mois=MOYENNE,VLOOKUP("Orge",AlimentsRationBovinsFemelles,4,FALSE),0)+(IF(QualitéAlimentsTaurillons_24_36_mois=MOYENNE,VLOOKUP("Orge",AlimentsRationBovinsMâles,3,FALSE),0)+(IF(QualitéAlimentsGénisses_24_36_mois=MOYENNE,VLOOKUP("Orge",AlimentsRationBovinsFemelles,3,FALSE),0)+(IF(QualitéAlimentsTaureaux=MOYENNE,VLOOKUP("Orge",AlimentsRationBovinsMâles,2,FALSE),0)+(IF(QualitéAlimentsVaches=MOYENNE,VLOOKUP("Orge",AlimentsRationBovinsFemelles,2,FALSE),0))))))))))))))))</f>
        <v>0</v>
      </c>
      <c r="BE362" s="333">
        <f t="array" ref="BE362">SUM((IF(QualitéAlimentsVeauxMâles_0_3_mois=MAUVAISE,VLOOKUP("Orge",AlimentsRationBovinsMâles,8,FALSE),0)+(IF(QualitéAlimentsVeauxFemelles_0_3_mois=MAUVAISE,VLOOKUP("Orge",AlimentsRationBovinsFemelles,8,FALSE),0)+(IF(QualitéAlimentsVeauxMâles_3_6_mois=MAUVAISE,VLOOKUP("Orge",AlimentsRationBovinsMâles,7,FALSE),0)+(IF(QualitéAlimentsVeauxFemelles_3_6_mois=MAUVAISE,VLOOKUP("Orge",AlimentsRationBovinsFemelles,7,FALSE),0)+(IF(QualitéAlimentsVeauxMâles_6_12_mois=MAUVAISE,VLOOKUP("Orge",AlimentsRationBovinsMâles,6,FALSE),0)+(IF(QualitéAlimentsVeauxFemelles_6_12_mois=MAUVAISE,VLOOKUP("Orge",AlimentsRationBovinsFemelles,6,FALSE),0)+(IF(QualitéAlimentsTaurillons_12_18_mois=MAUVAISE,VLOOKUP("Orge",AlimentsRationBovinsMâles,5,FALSE),0)+(IF(QualitéAlimentsGénisses_12_18_mois=MAUVAISE,VLOOKUP("Orge",AlimentsRationBovinsFemelles,5,FALSE),0)+(IF(QualitéAlimentsTaurillons_18_24_mois=MAUVAISE,VLOOKUP("Orge",AlimentsRationBovinsMâles,4,FALSE),0)+(IF(QualitéAlimentsGénisses_18_24_mois=MAUVAISE,VLOOKUP("Orge",AlimentsRationBovinsFemelles,4,FALSE),0)+(IF(QualitéAlimentsTaurillons_24_36_mois=MAUVAISE,VLOOKUP("Orge",AlimentsRationBovinsMâles,3,FALSE),0)+(IF(QualitéAlimentsGénisses_24_36_mois=MAUVAISE,VLOOKUP("Orge",AlimentsRationBovinsFemelles,3,FALSE),0)+(IF(QualitéAlimentsTaureaux=MAUVAISE,VLOOKUP("Orge",AlimentsRationBovinsMâles,2,FALSE),0)+(IF(QualitéAlimentsVaches=MAUVAISE,VLOOKUP("Orge",AlimentsRationBovinsFemelles,2,FALSE),0))))))))))))))))</f>
        <v>0</v>
      </c>
      <c r="CF362" s="277"/>
      <c r="CG362" s="276"/>
      <c r="CH362" s="276"/>
    </row>
    <row r="363" spans="1:86" ht="12.75" customHeight="1" x14ac:dyDescent="0.2">
      <c r="A363" s="276"/>
      <c r="B363" s="276"/>
      <c r="BB363" s="332" t="str">
        <f t="shared" si="19"/>
        <v>Paille</v>
      </c>
      <c r="BC363" s="333">
        <f t="array" ref="BC363">SUM((IF(QualitéAlimentsVeauxMâles_0_3_mois=BONNE,VLOOKUP("Paille",AlimentsRationBovinsMâles,8,FALSE),0)+(IF(QualitéAlimentsVeauxFemelles_0_3_mois=BONNE,VLOOKUP("Paille",AlimentsRationBovinsFemelles,8,FALSE),0)+(IF(QualitéAlimentsVeauxMâles_3_6_mois=BONNE,VLOOKUP("Paille",AlimentsRationBovinsMâles,7,FALSE),0)+(IF(QualitéAlimentsVeauxFemelles_3_6_mois=BONNE,VLOOKUP("Paille",AlimentsRationBovinsFemelles,7,FALSE),0)+(IF(QualitéAlimentsVeauxMâles_6_12_mois=BONNE,VLOOKUP("Paille",AlimentsRationBovinsMâles,6,FALSE),0)+(IF(QualitéAlimentsVeauxFemelles_6_12_mois=BONNE,VLOOKUP("Paille",AlimentsRationBovinsFemelles,6,FALSE),0)+(IF(QualitéAlimentsTaurillons_12_18_mois=BONNE,VLOOKUP("Paille",AlimentsRationBovinsMâles,5,FALSE),0)+(IF(QualitéAlimentsGénisses_12_18_mois=BONNE,VLOOKUP("Paille",AlimentsRationBovinsFemelles,5,FALSE),0)+(IF(QualitéAlimentsTaurillons_18_24_mois=BONNE,VLOOKUP("Paille",AlimentsRationBovinsMâles,4,FALSE),0)+(IF(QualitéAlimentsGénisses_18_24_mois=BONNE,VLOOKUP("Paille",AlimentsRationBovinsFemelles,4,FALSE),0)+(IF(QualitéAlimentsTaurillons_24_36_mois=BONNE,VLOOKUP("Paille",AlimentsRationBovinsMâles,3,FALSE),0)+(IF(QualitéAlimentsGénisses_24_36_mois=BONNE,VLOOKUP("Paille",AlimentsRationBovinsFemelles,3,FALSE),0)+(IF(QualitéAlimentsTaureaux=BONNE,VLOOKUP("Paille",AlimentsRationBovinsMâles,2,FALSE),0)+(IF(QualitéAlimentsVaches=BONNE,VLOOKUP("Paille",AlimentsRationBovinsFemelles,2,FALSE),0))))))))))))))))</f>
        <v>0</v>
      </c>
      <c r="BD363" s="333">
        <f t="array" ref="BD363">SUM((IF(QualitéAlimentsVeauxMâles_0_3_mois=MOYENNE,VLOOKUP("Paille",AlimentsRationBovinsMâles,8,FALSE),0)+(IF(QualitéAlimentsVeauxFemelles_0_3_mois=MOYENNE,VLOOKUP("Paille",AlimentsRationBovinsFemelles,8,FALSE),0)+(IF(QualitéAlimentsVeauxMâles_3_6_mois=MOYENNE,VLOOKUP("Paille",AlimentsRationBovinsMâles,7,FALSE),0)+(IF(QualitéAlimentsVeauxFemelles_3_6_mois=MOYENNE,VLOOKUP("Paille",AlimentsRationBovinsFemelles,7,FALSE),0)+(IF(QualitéAlimentsVeauxMâles_6_12_mois=MOYENNE,VLOOKUP("Paille",AlimentsRationBovinsMâles,6,FALSE),0)+(IF(QualitéAlimentsVeauxFemelles_6_12_mois=MOYENNE,VLOOKUP("Paille",AlimentsRationBovinsFemelles,6,FALSE),0)+(IF(QualitéAlimentsTaurillons_12_18_mois=MOYENNE,VLOOKUP("Paille",AlimentsRationBovinsMâles,5,FALSE),0)+(IF(QualitéAlimentsGénisses_12_18_mois=MOYENNE,VLOOKUP("Paille",AlimentsRationBovinsFemelles,5,FALSE),0)+(IF(QualitéAlimentsTaurillons_18_24_mois=MOYENNE,VLOOKUP("Paille",AlimentsRationBovinsMâles,4,FALSE),0)+(IF(QualitéAlimentsGénisses_18_24_mois=MOYENNE,VLOOKUP("Paille",AlimentsRationBovinsFemelles,4,FALSE),0)+(IF(QualitéAlimentsTaurillons_24_36_mois=MOYENNE,VLOOKUP("Paille",AlimentsRationBovinsMâles,3,FALSE),0)+(IF(QualitéAlimentsGénisses_24_36_mois=MOYENNE,VLOOKUP("Paille",AlimentsRationBovinsFemelles,3,FALSE),0)+(IF(QualitéAlimentsTaureaux=MOYENNE,VLOOKUP("Paille",AlimentsRationBovinsMâles,2,FALSE),0)+(IF(QualitéAlimentsVaches=MOYENNE,VLOOKUP("Paille",AlimentsRationBovinsFemelles,2,FALSE),0))))))))))))))))</f>
        <v>0</v>
      </c>
      <c r="BE363" s="333">
        <f t="array" ref="BE363">SUM((IF(QualitéAlimentsVeauxMâles_0_3_mois=MAUVAISE,VLOOKUP("Paille",AlimentsRationBovinsMâles,8,FALSE),0)+(IF(QualitéAlimentsVeauxFemelles_0_3_mois=MAUVAISE,VLOOKUP("Paille",AlimentsRationBovinsFemelles,8,FALSE),0)+(IF(QualitéAlimentsVeauxMâles_3_6_mois=MAUVAISE,VLOOKUP("Paille",AlimentsRationBovinsMâles,7,FALSE),0)+(IF(QualitéAlimentsVeauxFemelles_3_6_mois=MAUVAISE,VLOOKUP("Paille",AlimentsRationBovinsFemelles,7,FALSE),0)+(IF(QualitéAlimentsVeauxMâles_6_12_mois=MAUVAISE,VLOOKUP("Paille",AlimentsRationBovinsMâles,6,FALSE),0)+(IF(QualitéAlimentsVeauxFemelles_6_12_mois=MAUVAISE,VLOOKUP("Paille",AlimentsRationBovinsFemelles,6,FALSE),0)+(IF(QualitéAlimentsTaurillons_12_18_mois=MAUVAISE,VLOOKUP("Paille",AlimentsRationBovinsMâles,5,FALSE),0)+(IF(QualitéAlimentsGénisses_12_18_mois=MAUVAISE,VLOOKUP("Paille",AlimentsRationBovinsFemelles,5,FALSE),0)+(IF(QualitéAlimentsTaurillons_18_24_mois=MAUVAISE,VLOOKUP("Paille",AlimentsRationBovinsMâles,4,FALSE),0)+(IF(QualitéAlimentsGénisses_18_24_mois=MAUVAISE,VLOOKUP("Paille",AlimentsRationBovinsFemelles,4,FALSE),0)+(IF(QualitéAlimentsTaurillons_24_36_mois=MAUVAISE,VLOOKUP("Paille",AlimentsRationBovinsMâles,3,FALSE),0)+(IF(QualitéAlimentsGénisses_24_36_mois=MAUVAISE,VLOOKUP("Paille",AlimentsRationBovinsFemelles,3,FALSE),0)+(IF(QualitéAlimentsTaureaux=MAUVAISE,VLOOKUP("Paille",AlimentsRationBovinsMâles,2,FALSE),0)+(IF(QualitéAlimentsVaches=MAUVAISE,VLOOKUP("Paille",AlimentsRationBovinsFemelles,2,FALSE),0)+SUM(LitièreBovins[[#Totals],[Litière tout bovins]:[litière races laitières]]))))))))))))))))</f>
        <v>0</v>
      </c>
      <c r="CF363" s="277"/>
      <c r="CG363" s="276"/>
      <c r="CH363" s="276"/>
    </row>
    <row r="364" spans="1:86" ht="12.75" customHeight="1" x14ac:dyDescent="0.2">
      <c r="A364" s="276"/>
      <c r="B364" s="276"/>
      <c r="BB364" s="332" t="str">
        <f t="shared" si="19"/>
        <v>Pois</v>
      </c>
      <c r="BC364" s="333">
        <f t="array" ref="BC364">SUM((IF(QualitéAlimentsVeauxMâles_0_3_mois=BONNE,VLOOKUP("Pois",AlimentsRationBovinsMâles,8,FALSE),0)+(IF(QualitéAlimentsVeauxFemelles_0_3_mois=BONNE,VLOOKUP("Pois",AlimentsRationBovinsFemelles,8,FALSE),0)+(IF(QualitéAlimentsVeauxMâles_3_6_mois=BONNE,VLOOKUP("Pois",AlimentsRationBovinsMâles,7,FALSE),0)+(IF(QualitéAlimentsVeauxFemelles_3_6_mois=BONNE,VLOOKUP("Pois",AlimentsRationBovinsFemelles,7,FALSE),0)+(IF(QualitéAlimentsVeauxMâles_6_12_mois=BONNE,VLOOKUP("Pois",AlimentsRationBovinsMâles,6,FALSE),0)+(IF(QualitéAlimentsVeauxFemelles_6_12_mois=BONNE,VLOOKUP("Pois",AlimentsRationBovinsFemelles,6,FALSE),0)+(IF(QualitéAlimentsTaurillons_12_18_mois=BONNE,VLOOKUP("Pois",AlimentsRationBovinsMâles,5,FALSE),0)+(IF(QualitéAlimentsGénisses_12_18_mois=BONNE,VLOOKUP("Pois",AlimentsRationBovinsFemelles,5,FALSE),0)+(IF(QualitéAlimentsTaurillons_18_24_mois=BONNE,VLOOKUP("Pois",AlimentsRationBovinsMâles,4,FALSE),0)+(IF(QualitéAlimentsGénisses_18_24_mois=BONNE,VLOOKUP("Pois",AlimentsRationBovinsFemelles,4,FALSE),0)+(IF(QualitéAlimentsTaurillons_24_36_mois=BONNE,VLOOKUP("Pois",AlimentsRationBovinsMâles,3,FALSE),0)+(IF(QualitéAlimentsGénisses_24_36_mois=BONNE,VLOOKUP("Pois",AlimentsRationBovinsFemelles,3,FALSE),0)+(IF(QualitéAlimentsTaureaux=BONNE,VLOOKUP("Pois",AlimentsRationBovinsMâles,2,FALSE),0)+(IF(QualitéAlimentsVaches=BONNE,VLOOKUP("Pois",AlimentsRationBovinsFemelles,2,FALSE),0))))))))))))))))</f>
        <v>0</v>
      </c>
      <c r="BD364" s="333">
        <f t="array" ref="BD364">SUM((IF(QualitéAlimentsVeauxMâles_0_3_mois=MOYENNE,VLOOKUP("Pois",AlimentsRationBovinsMâles,8,FALSE),0)+(IF(QualitéAlimentsVeauxFemelles_0_3_mois=MOYENNE,VLOOKUP("Pois",AlimentsRationBovinsFemelles,8,FALSE),0)+(IF(QualitéAlimentsVeauxMâles_3_6_mois=MOYENNE,VLOOKUP("Pois",AlimentsRationBovinsMâles,7,FALSE),0)+(IF(QualitéAlimentsVeauxFemelles_3_6_mois=MOYENNE,VLOOKUP("Pois",AlimentsRationBovinsFemelles,7,FALSE),0)+(IF(QualitéAlimentsVeauxMâles_6_12_mois=MOYENNE,VLOOKUP("Pois",AlimentsRationBovinsMâles,6,FALSE),0)+(IF(QualitéAlimentsVeauxFemelles_6_12_mois=MOYENNE,VLOOKUP("Pois",AlimentsRationBovinsFemelles,6,FALSE),0)+(IF(QualitéAlimentsTaurillons_12_18_mois=MOYENNE,VLOOKUP("Pois",AlimentsRationBovinsMâles,5,FALSE),0)+(IF(QualitéAlimentsGénisses_12_18_mois=MOYENNE,VLOOKUP("Pois",AlimentsRationBovinsFemelles,5,FALSE),0)+(IF(QualitéAlimentsTaurillons_18_24_mois=MOYENNE,VLOOKUP("Pois",AlimentsRationBovinsMâles,4,FALSE),0)+(IF(QualitéAlimentsGénisses_18_24_mois=MOYENNE,VLOOKUP("Pois",AlimentsRationBovinsFemelles,4,FALSE),0)+(IF(QualitéAlimentsTaurillons_24_36_mois=MOYENNE,VLOOKUP("Pois",AlimentsRationBovinsMâles,3,FALSE),0)+(IF(QualitéAlimentsGénisses_24_36_mois=MOYENNE,VLOOKUP("Pois",AlimentsRationBovinsFemelles,3,FALSE),0)+(IF(QualitéAlimentsTaureaux=MOYENNE,VLOOKUP("Pois",AlimentsRationBovinsMâles,2,FALSE),0)+(IF(QualitéAlimentsVaches=MOYENNE,VLOOKUP("Pois",AlimentsRationBovinsFemelles,2,FALSE),0))))))))))))))))</f>
        <v>0</v>
      </c>
      <c r="BE364" s="333">
        <f t="array" ref="BE364">SUM((IF(QualitéAlimentsVeauxMâles_0_3_mois=MAUVAISE,VLOOKUP("Pois",AlimentsRationBovinsMâles,8,FALSE),0)+(IF(QualitéAlimentsVeauxFemelles_0_3_mois=MAUVAISE,VLOOKUP("Pois",AlimentsRationBovinsFemelles,8,FALSE),0)+(IF(QualitéAlimentsVeauxMâles_3_6_mois=MAUVAISE,VLOOKUP("Pois",AlimentsRationBovinsMâles,7,FALSE),0)+(IF(QualitéAlimentsVeauxFemelles_3_6_mois=MAUVAISE,VLOOKUP("Pois",AlimentsRationBovinsFemelles,7,FALSE),0)+(IF(QualitéAlimentsVeauxMâles_6_12_mois=MAUVAISE,VLOOKUP("Pois",AlimentsRationBovinsMâles,6,FALSE),0)+(IF(QualitéAlimentsVeauxFemelles_6_12_mois=MAUVAISE,VLOOKUP("Pois",AlimentsRationBovinsFemelles,6,FALSE),0)+(IF(QualitéAlimentsTaurillons_12_18_mois=MAUVAISE,VLOOKUP("Pois",AlimentsRationBovinsMâles,5,FALSE),0)+(IF(QualitéAlimentsGénisses_12_18_mois=MAUVAISE,VLOOKUP("Pois",AlimentsRationBovinsFemelles,5,FALSE),0)+(IF(QualitéAlimentsTaurillons_18_24_mois=MAUVAISE,VLOOKUP("Pois",AlimentsRationBovinsMâles,4,FALSE),0)+(IF(QualitéAlimentsGénisses_18_24_mois=MAUVAISE,VLOOKUP("Pois",AlimentsRationBovinsFemelles,4,FALSE),0)+(IF(QualitéAlimentsTaurillons_24_36_mois=MAUVAISE,VLOOKUP("Pois",AlimentsRationBovinsMâles,3,FALSE),0)+(IF(QualitéAlimentsGénisses_24_36_mois=MAUVAISE,VLOOKUP("Pois",AlimentsRationBovinsFemelles,3,FALSE),0)+(IF(QualitéAlimentsTaureaux=MAUVAISE,VLOOKUP("Pois",AlimentsRationBovinsMâles,2,FALSE),0)+(IF(QualitéAlimentsVaches=MAUVAISE,VLOOKUP("Pois",AlimentsRationBovinsFemelles,2,FALSE),0))))))))))))))))</f>
        <v>0</v>
      </c>
      <c r="CF364" s="277"/>
      <c r="CG364" s="276"/>
      <c r="CH364" s="276"/>
    </row>
    <row r="365" spans="1:86" ht="12.75" customHeight="1" x14ac:dyDescent="0.2">
      <c r="A365" s="276"/>
      <c r="B365" s="276"/>
      <c r="BB365" s="332" t="str">
        <f t="shared" si="19"/>
        <v>Pomme de terre</v>
      </c>
      <c r="BC365" s="333">
        <f t="array" ref="BC365">SUM((IF(QualitéAlimentsVeauxMâles_0_3_mois=BONNE,VLOOKUP("Pomme de terre",AlimentsRationBovinsMâles,8,FALSE),0)+(IF(QualitéAlimentsVeauxFemelles_0_3_mois=BONNE,VLOOKUP("Pomme de terre",AlimentsRationBovinsFemelles,8,FALSE),0)+(IF(QualitéAlimentsVeauxMâles_3_6_mois=BONNE,VLOOKUP("Pomme de terre",AlimentsRationBovinsMâles,7,FALSE),0)+(IF(QualitéAlimentsVeauxFemelles_3_6_mois=BONNE,VLOOKUP("Pomme de terre",AlimentsRationBovinsFemelles,7,FALSE),0)+(IF(QualitéAlimentsVeauxMâles_6_12_mois=BONNE,VLOOKUP("Pomme de terre",AlimentsRationBovinsMâles,6,FALSE),0)+(IF(QualitéAlimentsVeauxFemelles_6_12_mois=BONNE,VLOOKUP("Pomme de terre",AlimentsRationBovinsFemelles,6,FALSE),0)+(IF(QualitéAlimentsTaurillons_12_18_mois=BONNE,VLOOKUP("Pomme de terre",AlimentsRationBovinsMâles,5,FALSE),0)+(IF(QualitéAlimentsGénisses_12_18_mois=BONNE,VLOOKUP("Pomme de terre",AlimentsRationBovinsFemelles,5,FALSE),0)+(IF(QualitéAlimentsTaurillons_18_24_mois=BONNE,VLOOKUP("Pomme de terre",AlimentsRationBovinsMâles,4,FALSE),0)+(IF(QualitéAlimentsGénisses_18_24_mois=BONNE,VLOOKUP("Pomme de terre",AlimentsRationBovinsFemelles,4,FALSE),0)+(IF(QualitéAlimentsTaurillons_24_36_mois=BONNE,VLOOKUP("Pomme de terre",AlimentsRationBovinsMâles,3,FALSE),0)+(IF(QualitéAlimentsGénisses_24_36_mois=BONNE,VLOOKUP("Pomme de terre",AlimentsRationBovinsFemelles,3,FALSE),0)+(IF(QualitéAlimentsTaureaux=BONNE,VLOOKUP("Pomme de terre",AlimentsRationBovinsMâles,2,FALSE),0)+(IF(QualitéAlimentsVaches=BONNE,VLOOKUP("Pomme de terre",AlimentsRationBovinsFemelles,2,FALSE),0))))))))))))))))</f>
        <v>0</v>
      </c>
      <c r="BD365" s="333">
        <f t="array" ref="BD365">SUM((IF(QualitéAlimentsVeauxMâles_0_3_mois=MOYENNE,VLOOKUP("Pomme de terre",AlimentsRationBovinsMâles,8,FALSE),0)+(IF(QualitéAlimentsVeauxFemelles_0_3_mois=MOYENNE,VLOOKUP("Pomme de terre",AlimentsRationBovinsFemelles,8,FALSE),0)+(IF(QualitéAlimentsVeauxMâles_3_6_mois=MOYENNE,VLOOKUP("Pomme de terre",AlimentsRationBovinsMâles,7,FALSE),0)+(IF(QualitéAlimentsVeauxFemelles_3_6_mois=MOYENNE,VLOOKUP("Pomme de terre",AlimentsRationBovinsFemelles,7,FALSE),0)+(IF(QualitéAlimentsVeauxMâles_6_12_mois=MOYENNE,VLOOKUP("Pomme de terre",AlimentsRationBovinsMâles,6,FALSE),0)+(IF(QualitéAlimentsVeauxFemelles_6_12_mois=MOYENNE,VLOOKUP("Pomme de terre",AlimentsRationBovinsFemelles,6,FALSE),0)+(IF(QualitéAlimentsTaurillons_12_18_mois=MOYENNE,VLOOKUP("Pomme de terre",AlimentsRationBovinsMâles,5,FALSE),0)+(IF(QualitéAlimentsGénisses_12_18_mois=MOYENNE,VLOOKUP("Pomme de terre",AlimentsRationBovinsFemelles,5,FALSE),0)+(IF(QualitéAlimentsTaurillons_18_24_mois=MOYENNE,VLOOKUP("Pomme de terre",AlimentsRationBovinsMâles,4,FALSE),0)+(IF(QualitéAlimentsGénisses_18_24_mois=MOYENNE,VLOOKUP("Pomme de terre",AlimentsRationBovinsFemelles,4,FALSE),0)+(IF(QualitéAlimentsTaurillons_24_36_mois=MOYENNE,VLOOKUP("Pomme de terre",AlimentsRationBovinsMâles,3,FALSE),0)+(IF(QualitéAlimentsGénisses_24_36_mois=MOYENNE,VLOOKUP("Pomme de terre",AlimentsRationBovinsFemelles,3,FALSE),0)+(IF(QualitéAlimentsTaureaux=MOYENNE,VLOOKUP("Pomme de terre",AlimentsRationBovinsMâles,2,FALSE),0)+(IF(QualitéAlimentsVaches=MOYENNE,VLOOKUP("Pomme de terre",AlimentsRationBovinsFemelles,2,FALSE),0))))))))))))))))</f>
        <v>0</v>
      </c>
      <c r="BE365" s="333">
        <f t="array" ref="BE365">SUM((IF(QualitéAlimentsVeauxMâles_0_3_mois=MAUVAISE,VLOOKUP("Pomme de terre",AlimentsRationBovinsMâles,8,FALSE),0)+(IF(QualitéAlimentsVeauxFemelles_0_3_mois=MAUVAISE,VLOOKUP("Pomme de terre",AlimentsRationBovinsFemelles,8,FALSE),0)+(IF(QualitéAlimentsVeauxMâles_3_6_mois=MAUVAISE,VLOOKUP("Pomme de terre",AlimentsRationBovinsMâles,7,FALSE),0)+(IF(QualitéAlimentsVeauxFemelles_3_6_mois=MAUVAISE,VLOOKUP("Pomme de terre",AlimentsRationBovinsFemelles,7,FALSE),0)+(IF(QualitéAlimentsVeauxMâles_6_12_mois=MAUVAISE,VLOOKUP("Pomme de terre",AlimentsRationBovinsMâles,6,FALSE),0)+(IF(QualitéAlimentsVeauxFemelles_6_12_mois=MAUVAISE,VLOOKUP("Pomme de terre",AlimentsRationBovinsFemelles,6,FALSE),0)+(IF(QualitéAlimentsTaurillons_12_18_mois=MAUVAISE,VLOOKUP("Pomme de terre",AlimentsRationBovinsMâles,5,FALSE),0)+(IF(QualitéAlimentsGénisses_12_18_mois=MAUVAISE,VLOOKUP("Pomme de terre",AlimentsRationBovinsFemelles,5,FALSE),0)+(IF(QualitéAlimentsTaurillons_18_24_mois=MAUVAISE,VLOOKUP("Pomme de terre",AlimentsRationBovinsMâles,4,FALSE),0)+(IF(QualitéAlimentsGénisses_18_24_mois=MAUVAISE,VLOOKUP("Pomme de terre",AlimentsRationBovinsFemelles,4,FALSE),0)+(IF(QualitéAlimentsTaurillons_24_36_mois=MAUVAISE,VLOOKUP("Pomme de terre",AlimentsRationBovinsMâles,3,FALSE),0)+(IF(QualitéAlimentsGénisses_24_36_mois=MAUVAISE,VLOOKUP("Pomme de terre",AlimentsRationBovinsFemelles,3,FALSE),0)+(IF(QualitéAlimentsTaureaux=MAUVAISE,VLOOKUP("Pomme de terre",AlimentsRationBovinsMâles,2,FALSE),0)+(IF(QualitéAlimentsVaches=MAUVAISE,VLOOKUP("Pomme de terre",AlimentsRationBovinsFemelles,2,FALSE),0))))))))))))))))</f>
        <v>0</v>
      </c>
      <c r="CF365" s="277"/>
      <c r="CG365" s="276"/>
      <c r="CH365" s="276"/>
    </row>
    <row r="366" spans="1:86" ht="12.75" customHeight="1" x14ac:dyDescent="0.2">
      <c r="A366" s="276"/>
      <c r="B366" s="276"/>
      <c r="BB366" s="332" t="str">
        <f t="shared" si="19"/>
        <v>Pulpe déshydratée de betterave</v>
      </c>
      <c r="BC366" s="333">
        <f t="array" ref="BC366">SUM((IF(QualitéAlimentsVeauxMâles_0_3_mois=BONNE,VLOOKUP("Pulpe déshydratée de betterave",AlimentsRationBovinsMâles,8,FALSE),0)+(IF(QualitéAlimentsVeauxFemelles_0_3_mois=BONNE,VLOOKUP("Pulpe déshydratée de betterave",AlimentsRationBovinsFemelles,8,FALSE),0)+(IF(QualitéAlimentsVeauxMâles_3_6_mois=BONNE,VLOOKUP("Pulpe déshydratée de betterave",AlimentsRationBovinsMâles,7,FALSE),0)+(IF(QualitéAlimentsVeauxFemelles_3_6_mois=BONNE,VLOOKUP("Pulpe déshydratée de betterave",AlimentsRationBovinsFemelles,7,FALSE),0)+(IF(QualitéAlimentsVeauxMâles_6_12_mois=BONNE,VLOOKUP("Pulpe déshydratée de betterave",AlimentsRationBovinsMâles,6,FALSE),0)+(IF(QualitéAlimentsVeauxFemelles_6_12_mois=BONNE,VLOOKUP("Pulpe déshydratée de betterave",AlimentsRationBovinsFemelles,6,FALSE),0)+(IF(QualitéAlimentsTaurillons_12_18_mois=BONNE,VLOOKUP("Pulpe déshydratée de betterave",AlimentsRationBovinsMâles,5,FALSE),0)+(IF(QualitéAlimentsGénisses_12_18_mois=BONNE,VLOOKUP("Pulpe déshydratée de betterave",AlimentsRationBovinsFemelles,5,FALSE),0)+(IF(QualitéAlimentsTaurillons_18_24_mois=BONNE,VLOOKUP("Pulpe déshydratée de betterave",AlimentsRationBovinsMâles,4,FALSE),0)+(IF(QualitéAlimentsGénisses_18_24_mois=BONNE,VLOOKUP("Pulpe déshydratée de betterave",AlimentsRationBovinsFemelles,4,FALSE),0)+(IF(QualitéAlimentsTaurillons_24_36_mois=BONNE,VLOOKUP("Pulpe déshydratée de betterave",AlimentsRationBovinsMâles,3,FALSE),0)+(IF(QualitéAlimentsGénisses_24_36_mois=BONNE,VLOOKUP("Pulpe déshydratée de betterave",AlimentsRationBovinsFemelles,3,FALSE),0)+(IF(QualitéAlimentsTaureaux=BONNE,VLOOKUP("Pulpe déshydratée de betterave",AlimentsRationBovinsMâles,2,FALSE),0)+(IF(QualitéAlimentsVaches=BONNE,VLOOKUP("Pulpe déshydratée de betterave",AlimentsRationBovinsFemelles,2,FALSE),0))))))))))))))))</f>
        <v>0</v>
      </c>
      <c r="BD366" s="333">
        <f t="array" ref="BD366">SUM((IF(QualitéAlimentsVeauxMâles_0_3_mois=MOYENNE,VLOOKUP("Pulpe déshydratée de betterave",AlimentsRationBovinsMâles,8,FALSE),0)+(IF(QualitéAlimentsVeauxFemelles_0_3_mois=MOYENNE,VLOOKUP("Pulpe déshydratée de betterave",AlimentsRationBovinsFemelles,8,FALSE),0)+(IF(QualitéAlimentsVeauxMâles_3_6_mois=MOYENNE,VLOOKUP("Pulpe déshydratée de betterave",AlimentsRationBovinsMâles,7,FALSE),0)+(IF(QualitéAlimentsVeauxFemelles_3_6_mois=MOYENNE,VLOOKUP("Pulpe déshydratée de betterave",AlimentsRationBovinsFemelles,7,FALSE),0)+(IF(QualitéAlimentsVeauxMâles_6_12_mois=MOYENNE,VLOOKUP("Pulpe déshydratée de betterave",AlimentsRationBovinsMâles,6,FALSE),0)+(IF(QualitéAlimentsVeauxFemelles_6_12_mois=MOYENNE,VLOOKUP("Pulpe déshydratée de betterave",AlimentsRationBovinsFemelles,6,FALSE),0)+(IF(QualitéAlimentsTaurillons_12_18_mois=MOYENNE,VLOOKUP("Pulpe déshydratée de betterave",AlimentsRationBovinsMâles,5,FALSE),0)+(IF(QualitéAlimentsGénisses_12_18_mois=MOYENNE,VLOOKUP("Pulpe déshydratée de betterave",AlimentsRationBovinsFemelles,5,FALSE),0)+(IF(QualitéAlimentsTaurillons_18_24_mois=MOYENNE,VLOOKUP("Pulpe déshydratée de betterave",AlimentsRationBovinsMâles,4,FALSE),0)+(IF(QualitéAlimentsGénisses_18_24_mois=MOYENNE,VLOOKUP("Pulpe déshydratée de betterave",AlimentsRationBovinsFemelles,4,FALSE),0)+(IF(QualitéAlimentsTaurillons_24_36_mois=MOYENNE,VLOOKUP("Pulpe déshydratée de betterave",AlimentsRationBovinsMâles,3,FALSE),0)+(IF(QualitéAlimentsGénisses_24_36_mois=MOYENNE,VLOOKUP("Pulpe déshydratée de betterave",AlimentsRationBovinsFemelles,3,FALSE),0)+(IF(QualitéAlimentsTaureaux=MOYENNE,VLOOKUP("Pulpe déshydratée de betterave",AlimentsRationBovinsMâles,2,FALSE),0)+(IF(QualitéAlimentsVaches=MOYENNE,VLOOKUP("Pulpe déshydratée de betterave",AlimentsRationBovinsFemelles,2,FALSE),0))))))))))))))))</f>
        <v>0</v>
      </c>
      <c r="BE366" s="333">
        <f t="array" ref="BE366">SUM((IF(QualitéAlimentsVeauxMâles_0_3_mois=MAUVAISE,VLOOKUP("Pulpe déshydratée de betterave",AlimentsRationBovinsMâles,8,FALSE),0)+(IF(QualitéAlimentsVeauxFemelles_0_3_mois=MAUVAISE,VLOOKUP("Pulpe déshydratée de betterave",AlimentsRationBovinsFemelles,8,FALSE),0)+(IF(QualitéAlimentsVeauxMâles_3_6_mois=MAUVAISE,VLOOKUP("Pulpe déshydratée de betterave",AlimentsRationBovinsMâles,7,FALSE),0)+(IF(QualitéAlimentsVeauxFemelles_3_6_mois=MAUVAISE,VLOOKUP("Pulpe déshydratée de betterave",AlimentsRationBovinsFemelles,7,FALSE),0)+(IF(QualitéAlimentsVeauxMâles_6_12_mois=MAUVAISE,VLOOKUP("Pulpe déshydratée de betterave",AlimentsRationBovinsMâles,6,FALSE),0)+(IF(QualitéAlimentsVeauxFemelles_6_12_mois=MAUVAISE,VLOOKUP("Pulpe déshydratée de betterave",AlimentsRationBovinsFemelles,6,FALSE),0)+(IF(QualitéAlimentsTaurillons_12_18_mois=MAUVAISE,VLOOKUP("Pulpe déshydratée de betterave",AlimentsRationBovinsMâles,5,FALSE),0)+(IF(QualitéAlimentsGénisses_12_18_mois=MAUVAISE,VLOOKUP("Pulpe déshydratée de betterave",AlimentsRationBovinsFemelles,5,FALSE),0)+(IF(QualitéAlimentsTaurillons_18_24_mois=MAUVAISE,VLOOKUP("Pulpe déshydratée de betterave",AlimentsRationBovinsMâles,4,FALSE),0)+(IF(QualitéAlimentsGénisses_18_24_mois=MAUVAISE,VLOOKUP("Pulpe déshydratée de betterave",AlimentsRationBovinsFemelles,4,FALSE),0)+(IF(QualitéAlimentsTaurillons_24_36_mois=MAUVAISE,VLOOKUP("Pulpe déshydratée de betterave",AlimentsRationBovinsMâles,3,FALSE),0)+(IF(QualitéAlimentsGénisses_24_36_mois=MAUVAISE,VLOOKUP("Pulpe déshydratée de betterave",AlimentsRationBovinsFemelles,3,FALSE),0)+(IF(QualitéAlimentsTaureaux=MAUVAISE,VLOOKUP("Pulpe déshydratée de betterave",AlimentsRationBovinsMâles,2,FALSE),0)+(IF(QualitéAlimentsVaches=MAUVAISE,VLOOKUP("Pulpe déshydratée de betterave",AlimentsRationBovinsFemelles,2,FALSE),0))))))))))))))))</f>
        <v>0</v>
      </c>
      <c r="CF366" s="277"/>
      <c r="CG366" s="276"/>
      <c r="CH366" s="276"/>
    </row>
    <row r="367" spans="1:86" ht="12.75" customHeight="1" x14ac:dyDescent="0.2">
      <c r="A367" s="276"/>
      <c r="B367" s="276"/>
      <c r="BB367" s="332" t="str">
        <f t="shared" si="19"/>
        <v>Ration complète</v>
      </c>
      <c r="BC367" s="333">
        <f t="array" ref="BC367">SUM((IF(QualitéAlimentsVeauxMâles_0_3_mois=BONNE,VLOOKUP("Ration complète",AlimentsRationBovinsMâles,8,FALSE),0)+(IF(QualitéAlimentsVeauxFemelles_0_3_mois=BONNE,VLOOKUP("Ration complète",AlimentsRationBovinsFemelles,8,FALSE),0)+(IF(QualitéAlimentsVeauxMâles_3_6_mois=BONNE,VLOOKUP("Ration complète",AlimentsRationBovinsMâles,7,FALSE),0)+(IF(QualitéAlimentsVeauxFemelles_3_6_mois=BONNE,VLOOKUP("Ration complète",AlimentsRationBovinsFemelles,7,FALSE),0)+(IF(QualitéAlimentsVeauxMâles_6_12_mois=BONNE,VLOOKUP("Ration complète",AlimentsRationBovinsMâles,6,FALSE),0)+(IF(QualitéAlimentsVeauxFemelles_6_12_mois=BONNE,VLOOKUP("Ration complète",AlimentsRationBovinsFemelles,6,FALSE),0)+(IF(QualitéAlimentsTaurillons_12_18_mois=BONNE,VLOOKUP("Ration complète",AlimentsRationBovinsMâles,5,FALSE),0)+(IF(QualitéAlimentsGénisses_12_18_mois=BONNE,VLOOKUP("Ration complète",AlimentsRationBovinsFemelles,5,FALSE),0)+(IF(QualitéAlimentsTaurillons_18_24_mois=BONNE,VLOOKUP("Ration complète",AlimentsRationBovinsMâles,4,FALSE),0)+(IF(QualitéAlimentsGénisses_18_24_mois=BONNE,VLOOKUP("Ration complète",AlimentsRationBovinsFemelles,4,FALSE),0)+(IF(QualitéAlimentsTaurillons_24_36_mois=BONNE,VLOOKUP("Ration complète",AlimentsRationBovinsMâles,3,FALSE),0)+(IF(QualitéAlimentsGénisses_24_36_mois=BONNE,VLOOKUP("Ration complète",AlimentsRationBovinsFemelles,3,FALSE),0)+(IF(QualitéAlimentsTaureaux=BONNE,VLOOKUP("Ration complète",AlimentsRationBovinsMâles,2,FALSE),0)+(IF(QualitéAlimentsVaches=BONNE,VLOOKUP("Ration complète",AlimentsRationBovinsFemelles,2,FALSE),0))))))))))))))))</f>
        <v>0</v>
      </c>
      <c r="BD367" s="333">
        <f t="array" ref="BD367">SUM((IF(QualitéAlimentsVeauxMâles_0_3_mois=MOYENNE,VLOOKUP("Ration complète",AlimentsRationBovinsMâles,8,FALSE),0)+(IF(QualitéAlimentsVeauxFemelles_0_3_mois=MOYENNE,VLOOKUP("Ration complète",AlimentsRationBovinsFemelles,8,FALSE),0)+(IF(QualitéAlimentsVeauxMâles_3_6_mois=MOYENNE,VLOOKUP("Ration complète",AlimentsRationBovinsMâles,7,FALSE),0)+(IF(QualitéAlimentsVeauxFemelles_3_6_mois=MOYENNE,VLOOKUP("Ration complète",AlimentsRationBovinsFemelles,7,FALSE),0)+(IF(QualitéAlimentsVeauxMâles_6_12_mois=MOYENNE,VLOOKUP("Ration complète",AlimentsRationBovinsMâles,6,FALSE),0)+(IF(QualitéAlimentsVeauxFemelles_6_12_mois=MOYENNE,VLOOKUP("Ration complète",AlimentsRationBovinsFemelles,6,FALSE),0)+(IF(QualitéAlimentsTaurillons_12_18_mois=MOYENNE,VLOOKUP("Ration complète",AlimentsRationBovinsMâles,5,FALSE),0)+(IF(QualitéAlimentsGénisses_12_18_mois=MOYENNE,VLOOKUP("Ration complète",AlimentsRationBovinsFemelles,5,FALSE),0)+(IF(QualitéAlimentsTaurillons_18_24_mois=MOYENNE,VLOOKUP("Ration complète",AlimentsRationBovinsMâles,4,FALSE),0)+(IF(QualitéAlimentsGénisses_18_24_mois=MOYENNE,VLOOKUP("Ration complète",AlimentsRationBovinsFemelles,4,FALSE),0)+(IF(QualitéAlimentsTaurillons_24_36_mois=MOYENNE,VLOOKUP("Ration complète",AlimentsRationBovinsMâles,3,FALSE),0)+(IF(QualitéAlimentsGénisses_24_36_mois=MOYENNE,VLOOKUP("Ration complète",AlimentsRationBovinsFemelles,3,FALSE),0)+(IF(QualitéAlimentsTaureaux=MOYENNE,VLOOKUP("Ration complète",AlimentsRationBovinsMâles,2,FALSE),0)+(IF(QualitéAlimentsVaches=MOYENNE,VLOOKUP("Ration complète",AlimentsRationBovinsFemelles,2,FALSE),0))))))))))))))))</f>
        <v>0</v>
      </c>
      <c r="BE367" s="333">
        <f t="array" ref="BE367">SUM((IF(QualitéAlimentsVeauxMâles_0_3_mois=MAUVAISE,VLOOKUP("Ration complète",AlimentsRationBovinsMâles,8,FALSE),0)+(IF(QualitéAlimentsVeauxFemelles_0_3_mois=MAUVAISE,VLOOKUP("Ration complète",AlimentsRationBovinsFemelles,8,FALSE),0)+(IF(QualitéAlimentsVeauxMâles_3_6_mois=MAUVAISE,VLOOKUP("Ration complète",AlimentsRationBovinsMâles,7,FALSE),0)+(IF(QualitéAlimentsVeauxFemelles_3_6_mois=MAUVAISE,VLOOKUP("Ration complète",AlimentsRationBovinsFemelles,7,FALSE),0)+(IF(QualitéAlimentsVeauxMâles_6_12_mois=MAUVAISE,VLOOKUP("Ration complète",AlimentsRationBovinsMâles,6,FALSE),0)+(IF(QualitéAlimentsVeauxFemelles_6_12_mois=MAUVAISE,VLOOKUP("Ration complète",AlimentsRationBovinsFemelles,6,FALSE),0)+(IF(QualitéAlimentsTaurillons_12_18_mois=MAUVAISE,VLOOKUP("Ration complète",AlimentsRationBovinsMâles,5,FALSE),0)+(IF(QualitéAlimentsGénisses_12_18_mois=MAUVAISE,VLOOKUP("Ration complète",AlimentsRationBovinsFemelles,5,FALSE),0)+(IF(QualitéAlimentsTaurillons_18_24_mois=MAUVAISE,VLOOKUP("Ration complète",AlimentsRationBovinsMâles,4,FALSE),0)+(IF(QualitéAlimentsGénisses_18_24_mois=MAUVAISE,VLOOKUP("Ration complète",AlimentsRationBovinsFemelles,4,FALSE),0)+(IF(QualitéAlimentsTaurillons_24_36_mois=MAUVAISE,VLOOKUP("Ration complète",AlimentsRationBovinsMâles,3,FALSE),0)+(IF(QualitéAlimentsGénisses_24_36_mois=MAUVAISE,VLOOKUP("Ration complète",AlimentsRationBovinsFemelles,3,FALSE),0)+(IF(QualitéAlimentsTaureaux=MAUVAISE,VLOOKUP("Ration complète",AlimentsRationBovinsMâles,2,FALSE),0)+(IF(QualitéAlimentsVaches=MAUVAISE,VLOOKUP("Ration complète",AlimentsRationBovinsFemelles,2,FALSE),0))))))))))))))))</f>
        <v>0</v>
      </c>
      <c r="CF367" s="277"/>
      <c r="CG367" s="276"/>
      <c r="CH367" s="276"/>
    </row>
    <row r="368" spans="1:86" ht="12.75" customHeight="1" x14ac:dyDescent="0.2">
      <c r="A368" s="276"/>
      <c r="B368" s="276"/>
      <c r="BB368" s="332" t="str">
        <f t="shared" si="19"/>
        <v>Seigle</v>
      </c>
      <c r="BC368" s="333">
        <f t="array" ref="BC368">SUM((IF(QualitéAlimentsVeauxMâles_0_3_mois=BONNE,VLOOKUP("Seigle",AlimentsRationBovinsMâles,8,FALSE),0)+(IF(QualitéAlimentsVeauxFemelles_0_3_mois=BONNE,VLOOKUP("Seigle",AlimentsRationBovinsFemelles,8,FALSE),0)+(IF(QualitéAlimentsVeauxMâles_3_6_mois=BONNE,VLOOKUP("Seigle",AlimentsRationBovinsMâles,7,FALSE),0)+(IF(QualitéAlimentsVeauxFemelles_3_6_mois=BONNE,VLOOKUP("Seigle",AlimentsRationBovinsFemelles,7,FALSE),0)+(IF(QualitéAlimentsVeauxMâles_6_12_mois=BONNE,VLOOKUP("Seigle",AlimentsRationBovinsMâles,6,FALSE),0)+(IF(QualitéAlimentsVeauxFemelles_6_12_mois=BONNE,VLOOKUP("Seigle",AlimentsRationBovinsFemelles,6,FALSE),0)+(IF(QualitéAlimentsTaurillons_12_18_mois=BONNE,VLOOKUP("Seigle",AlimentsRationBovinsMâles,5,FALSE),0)+(IF(QualitéAlimentsGénisses_12_18_mois=BONNE,VLOOKUP("Seigle",AlimentsRationBovinsFemelles,5,FALSE),0)+(IF(QualitéAlimentsTaurillons_18_24_mois=BONNE,VLOOKUP("Seigle",AlimentsRationBovinsMâles,4,FALSE),0)+(IF(QualitéAlimentsGénisses_18_24_mois=BONNE,VLOOKUP("Seigle",AlimentsRationBovinsFemelles,4,FALSE),0)+(IF(QualitéAlimentsTaurillons_24_36_mois=BONNE,VLOOKUP("Seigle",AlimentsRationBovinsMâles,3,FALSE),0)+(IF(QualitéAlimentsGénisses_24_36_mois=BONNE,VLOOKUP("Seigle",AlimentsRationBovinsFemelles,3,FALSE),0)+(IF(QualitéAlimentsTaureaux=BONNE,VLOOKUP("Seigle",AlimentsRationBovinsMâles,2,FALSE),0)+(IF(QualitéAlimentsVaches=BONNE,VLOOKUP("Seigle",AlimentsRationBovinsFemelles,2,FALSE),0))))))))))))))))</f>
        <v>0</v>
      </c>
      <c r="BD368" s="333">
        <f t="array" ref="BD368">SUM((IF(QualitéAlimentsVeauxMâles_0_3_mois=MOYENNE,VLOOKUP("Seigle",AlimentsRationBovinsMâles,8,FALSE),0)+(IF(QualitéAlimentsVeauxFemelles_0_3_mois=MOYENNE,VLOOKUP("Seigle",AlimentsRationBovinsFemelles,8,FALSE),0)+(IF(QualitéAlimentsVeauxMâles_3_6_mois=MOYENNE,VLOOKUP("Seigle",AlimentsRationBovinsMâles,7,FALSE),0)+(IF(QualitéAlimentsVeauxFemelles_3_6_mois=MOYENNE,VLOOKUP("Seigle",AlimentsRationBovinsFemelles,7,FALSE),0)+(IF(QualitéAlimentsVeauxMâles_6_12_mois=MOYENNE,VLOOKUP("Seigle",AlimentsRationBovinsMâles,6,FALSE),0)+(IF(QualitéAlimentsVeauxFemelles_6_12_mois=MOYENNE,VLOOKUP("Seigle",AlimentsRationBovinsFemelles,6,FALSE),0)+(IF(QualitéAlimentsTaurillons_12_18_mois=MOYENNE,VLOOKUP("Seigle",AlimentsRationBovinsMâles,5,FALSE),0)+(IF(QualitéAlimentsGénisses_12_18_mois=MOYENNE,VLOOKUP("Seigle",AlimentsRationBovinsFemelles,5,FALSE),0)+(IF(QualitéAlimentsTaurillons_18_24_mois=MOYENNE,VLOOKUP("Seigle",AlimentsRationBovinsMâles,4,FALSE),0)+(IF(QualitéAlimentsGénisses_18_24_mois=MOYENNE,VLOOKUP("Seigle",AlimentsRationBovinsFemelles,4,FALSE),0)+(IF(QualitéAlimentsTaurillons_24_36_mois=MOYENNE,VLOOKUP("Seigle",AlimentsRationBovinsMâles,3,FALSE),0)+(IF(QualitéAlimentsGénisses_24_36_mois=MOYENNE,VLOOKUP("Seigle",AlimentsRationBovinsFemelles,3,FALSE),0)+(IF(QualitéAlimentsTaureaux=MOYENNE,VLOOKUP("Seigle",AlimentsRationBovinsMâles,2,FALSE),0)+(IF(QualitéAlimentsVaches=MOYENNE,VLOOKUP("Seigle",AlimentsRationBovinsFemelles,2,FALSE),0))))))))))))))))</f>
        <v>0</v>
      </c>
      <c r="BE368" s="333">
        <f t="array" ref="BE368">SUM((IF(QualitéAlimentsVeauxMâles_0_3_mois=MAUVAISE,VLOOKUP("Seigle",AlimentsRationBovinsMâles,8,FALSE),0)+(IF(QualitéAlimentsVeauxFemelles_0_3_mois=MAUVAISE,VLOOKUP("Seigle",AlimentsRationBovinsFemelles,8,FALSE),0)+(IF(QualitéAlimentsVeauxMâles_3_6_mois=MAUVAISE,VLOOKUP("Seigle",AlimentsRationBovinsMâles,7,FALSE),0)+(IF(QualitéAlimentsVeauxFemelles_3_6_mois=MAUVAISE,VLOOKUP("Seigle",AlimentsRationBovinsFemelles,7,FALSE),0)+(IF(QualitéAlimentsVeauxMâles_6_12_mois=MAUVAISE,VLOOKUP("Seigle",AlimentsRationBovinsMâles,6,FALSE),0)+(IF(QualitéAlimentsVeauxFemelles_6_12_mois=MAUVAISE,VLOOKUP("Seigle",AlimentsRationBovinsFemelles,6,FALSE),0)+(IF(QualitéAlimentsTaurillons_12_18_mois=MAUVAISE,VLOOKUP("Seigle",AlimentsRationBovinsMâles,5,FALSE),0)+(IF(QualitéAlimentsGénisses_12_18_mois=MAUVAISE,VLOOKUP("Seigle",AlimentsRationBovinsFemelles,5,FALSE),0)+(IF(QualitéAlimentsTaurillons_18_24_mois=MAUVAISE,VLOOKUP("Seigle",AlimentsRationBovinsMâles,4,FALSE),0)+(IF(QualitéAlimentsGénisses_18_24_mois=MAUVAISE,VLOOKUP("Seigle",AlimentsRationBovinsFemelles,4,FALSE),0)+(IF(QualitéAlimentsTaurillons_24_36_mois=MAUVAISE,VLOOKUP("Seigle",AlimentsRationBovinsMâles,3,FALSE),0)+(IF(QualitéAlimentsGénisses_24_36_mois=MAUVAISE,VLOOKUP("Seigle",AlimentsRationBovinsFemelles,3,FALSE),0)+(IF(QualitéAlimentsTaureaux=MAUVAISE,VLOOKUP("Seigle",AlimentsRationBovinsMâles,2,FALSE),0)+(IF(QualitéAlimentsVaches=MAUVAISE,VLOOKUP("Seigle",AlimentsRationBovinsFemelles,2,FALSE),0))))))))))))))))</f>
        <v>0</v>
      </c>
      <c r="CF368" s="277"/>
      <c r="CG368" s="276"/>
      <c r="CH368" s="276"/>
    </row>
    <row r="369" spans="1:86" ht="12.75" customHeight="1" x14ac:dyDescent="0.2">
      <c r="A369" s="276"/>
      <c r="B369" s="276"/>
      <c r="BB369" s="332" t="str">
        <f t="shared" si="19"/>
        <v>Soja</v>
      </c>
      <c r="BC369" s="333">
        <f t="array" ref="BC369">SUM((IF(QualitéAlimentsVeauxMâles_0_3_mois=BONNE,VLOOKUP("Soja",AlimentsRationBovinsMâles,8,FALSE),0)+(IF(QualitéAlimentsVeauxFemelles_0_3_mois=BONNE,VLOOKUP("Soja",AlimentsRationBovinsFemelles,8,FALSE),0)+(IF(QualitéAlimentsVeauxMâles_3_6_mois=BONNE,VLOOKUP("Soja",AlimentsRationBovinsMâles,7,FALSE),0)+(IF(QualitéAlimentsVeauxFemelles_3_6_mois=BONNE,VLOOKUP("Soja",AlimentsRationBovinsFemelles,7,FALSE),0)+(IF(QualitéAlimentsVeauxMâles_6_12_mois=BONNE,VLOOKUP("Soja",AlimentsRationBovinsMâles,6,FALSE),0)+(IF(QualitéAlimentsVeauxFemelles_6_12_mois=BONNE,VLOOKUP("Soja",AlimentsRationBovinsFemelles,6,FALSE),0)+(IF(QualitéAlimentsTaurillons_12_18_mois=BONNE,VLOOKUP("Soja",AlimentsRationBovinsMâles,5,FALSE),0)+(IF(QualitéAlimentsGénisses_12_18_mois=BONNE,VLOOKUP("Soja",AlimentsRationBovinsFemelles,5,FALSE),0)+(IF(QualitéAlimentsTaurillons_18_24_mois=BONNE,VLOOKUP("Soja",AlimentsRationBovinsMâles,4,FALSE),0)+(IF(QualitéAlimentsGénisses_18_24_mois=BONNE,VLOOKUP("Soja",AlimentsRationBovinsFemelles,4,FALSE),0)+(IF(QualitéAlimentsTaurillons_24_36_mois=BONNE,VLOOKUP("Soja",AlimentsRationBovinsMâles,3,FALSE),0)+(IF(QualitéAlimentsGénisses_24_36_mois=BONNE,VLOOKUP("Soja",AlimentsRationBovinsFemelles,3,FALSE),0)+(IF(QualitéAlimentsTaureaux=BONNE,VLOOKUP("Soja",AlimentsRationBovinsMâles,2,FALSE),0)+(IF(QualitéAlimentsVaches=BONNE,VLOOKUP("Soja",AlimentsRationBovinsFemelles,2,FALSE),0))))))))))))))))</f>
        <v>0</v>
      </c>
      <c r="BD369" s="333">
        <f t="array" ref="BD369">SUM((IF(QualitéAlimentsVeauxMâles_0_3_mois=MOYENNE,VLOOKUP("Soja",AlimentsRationBovinsMâles,8,FALSE),0)+(IF(QualitéAlimentsVeauxFemelles_0_3_mois=MOYENNE,VLOOKUP("Soja",AlimentsRationBovinsFemelles,8,FALSE),0)+(IF(QualitéAlimentsVeauxMâles_3_6_mois=MOYENNE,VLOOKUP("Soja",AlimentsRationBovinsMâles,7,FALSE),0)+(IF(QualitéAlimentsVeauxFemelles_3_6_mois=MOYENNE,VLOOKUP("Soja",AlimentsRationBovinsFemelles,7,FALSE),0)+(IF(QualitéAlimentsVeauxMâles_6_12_mois=MOYENNE,VLOOKUP("Soja",AlimentsRationBovinsMâles,6,FALSE),0)+(IF(QualitéAlimentsVeauxFemelles_6_12_mois=MOYENNE,VLOOKUP("Soja",AlimentsRationBovinsFemelles,6,FALSE),0)+(IF(QualitéAlimentsTaurillons_12_18_mois=MOYENNE,VLOOKUP("Soja",AlimentsRationBovinsMâles,5,FALSE),0)+(IF(QualitéAlimentsGénisses_12_18_mois=MOYENNE,VLOOKUP("Soja",AlimentsRationBovinsFemelles,5,FALSE),0)+(IF(QualitéAlimentsTaurillons_18_24_mois=MOYENNE,VLOOKUP("Soja",AlimentsRationBovinsMâles,4,FALSE),0)+(IF(QualitéAlimentsGénisses_18_24_mois=MOYENNE,VLOOKUP("Soja",AlimentsRationBovinsFemelles,4,FALSE),0)+(IF(QualitéAlimentsTaurillons_24_36_mois=MOYENNE,VLOOKUP("Soja",AlimentsRationBovinsMâles,3,FALSE),0)+(IF(QualitéAlimentsGénisses_24_36_mois=MOYENNE,VLOOKUP("Soja",AlimentsRationBovinsFemelles,3,FALSE),0)+(IF(QualitéAlimentsTaureaux=MOYENNE,VLOOKUP("Soja",AlimentsRationBovinsMâles,2,FALSE),0)+(IF(QualitéAlimentsVaches=MOYENNE,VLOOKUP("Soja",AlimentsRationBovinsFemelles,2,FALSE),0))))))))))))))))</f>
        <v>0</v>
      </c>
      <c r="BE369" s="333">
        <f t="array" ref="BE369">SUM((IF(QualitéAlimentsVeauxMâles_0_3_mois=MAUVAISE,VLOOKUP("Soja",AlimentsRationBovinsMâles,8,FALSE),0)+(IF(QualitéAlimentsVeauxFemelles_0_3_mois=MAUVAISE,VLOOKUP("Soja",AlimentsRationBovinsFemelles,8,FALSE),0)+(IF(QualitéAlimentsVeauxMâles_3_6_mois=MAUVAISE,VLOOKUP("Soja",AlimentsRationBovinsMâles,7,FALSE),0)+(IF(QualitéAlimentsVeauxFemelles_3_6_mois=MAUVAISE,VLOOKUP("Soja",AlimentsRationBovinsFemelles,7,FALSE),0)+(IF(QualitéAlimentsVeauxMâles_6_12_mois=MAUVAISE,VLOOKUP("Soja",AlimentsRationBovinsMâles,6,FALSE),0)+(IF(QualitéAlimentsVeauxFemelles_6_12_mois=MAUVAISE,VLOOKUP("Soja",AlimentsRationBovinsFemelles,6,FALSE),0)+(IF(QualitéAlimentsTaurillons_12_18_mois=MAUVAISE,VLOOKUP("Soja",AlimentsRationBovinsMâles,5,FALSE),0)+(IF(QualitéAlimentsGénisses_12_18_mois=MAUVAISE,VLOOKUP("Soja",AlimentsRationBovinsFemelles,5,FALSE),0)+(IF(QualitéAlimentsTaurillons_18_24_mois=MAUVAISE,VLOOKUP("Soja",AlimentsRationBovinsMâles,4,FALSE),0)+(IF(QualitéAlimentsGénisses_18_24_mois=MAUVAISE,VLOOKUP("Soja",AlimentsRationBovinsFemelles,4,FALSE),0)+(IF(QualitéAlimentsTaurillons_24_36_mois=MAUVAISE,VLOOKUP("Soja",AlimentsRationBovinsMâles,3,FALSE),0)+(IF(QualitéAlimentsGénisses_24_36_mois=MAUVAISE,VLOOKUP("Soja",AlimentsRationBovinsFemelles,3,FALSE),0)+(IF(QualitéAlimentsTaureaux=MAUVAISE,VLOOKUP("Soja",AlimentsRationBovinsMâles,2,FALSE),0)+(IF(QualitéAlimentsVaches=MAUVAISE,VLOOKUP("Soja",AlimentsRationBovinsFemelles,2,FALSE),0))))))))))))))))</f>
        <v>0</v>
      </c>
      <c r="CF369" s="277"/>
      <c r="CG369" s="276"/>
      <c r="CH369" s="276"/>
    </row>
    <row r="370" spans="1:86" ht="12.75" customHeight="1" x14ac:dyDescent="0.2">
      <c r="A370" s="276"/>
      <c r="B370" s="276"/>
      <c r="BB370" s="332" t="str">
        <f t="shared" si="19"/>
        <v>Sorgho ensilé</v>
      </c>
      <c r="BC370" s="333">
        <f t="array" ref="BC370">SUM((IF(QualitéAlimentsVeauxMâles_0_3_mois=BONNE,VLOOKUP("Sorgho ensilé",AlimentsRationBovinsMâles,8,FALSE),0)+(IF(QualitéAlimentsVeauxFemelles_0_3_mois=BONNE,VLOOKUP("Sorgho ensilé",AlimentsRationBovinsFemelles,8,FALSE),0)+(IF(QualitéAlimentsVeauxMâles_3_6_mois=BONNE,VLOOKUP("Sorgho ensilé",AlimentsRationBovinsMâles,7,FALSE),0)+(IF(QualitéAlimentsVeauxFemelles_3_6_mois=BONNE,VLOOKUP("Sorgho ensilé",AlimentsRationBovinsFemelles,7,FALSE),0)+(IF(QualitéAlimentsVeauxMâles_6_12_mois=BONNE,VLOOKUP("Sorgho ensilé",AlimentsRationBovinsMâles,6,FALSE),0)+(IF(QualitéAlimentsVeauxFemelles_6_12_mois=BONNE,VLOOKUP("Sorgho ensilé",AlimentsRationBovinsFemelles,6,FALSE),0)+(IF(QualitéAlimentsTaurillons_12_18_mois=BONNE,VLOOKUP("Sorgho ensilé",AlimentsRationBovinsMâles,5,FALSE),0)+(IF(QualitéAlimentsGénisses_12_18_mois=BONNE,VLOOKUP("Sorgho ensilé",AlimentsRationBovinsFemelles,5,FALSE),0)+(IF(QualitéAlimentsTaurillons_18_24_mois=BONNE,VLOOKUP("Sorgho ensilé",AlimentsRationBovinsMâles,4,FALSE),0)+(IF(QualitéAlimentsGénisses_18_24_mois=BONNE,VLOOKUP("Sorgho ensilé",AlimentsRationBovinsFemelles,4,FALSE),0)+(IF(QualitéAlimentsTaurillons_24_36_mois=BONNE,VLOOKUP("Sorgho ensilé",AlimentsRationBovinsMâles,3,FALSE),0)+(IF(QualitéAlimentsGénisses_24_36_mois=BONNE,VLOOKUP("Sorgho ensilé",AlimentsRationBovinsFemelles,3,FALSE),0)+(IF(QualitéAlimentsTaureaux=BONNE,VLOOKUP("Sorgho ensilé",AlimentsRationBovinsMâles,2,FALSE),0)+(IF(QualitéAlimentsVaches=BONNE,VLOOKUP("Sorgho ensilé",AlimentsRationBovinsFemelles,2,FALSE),0))))))))))))))))</f>
        <v>0</v>
      </c>
      <c r="BD370" s="333">
        <f t="array" ref="BD370">SUM((IF(QualitéAlimentsVeauxMâles_0_3_mois=MOYENNE,VLOOKUP("Sorgho ensilé",AlimentsRationBovinsMâles,8,FALSE),0)+(IF(QualitéAlimentsVeauxFemelles_0_3_mois=MOYENNE,VLOOKUP("Sorgho ensilé",AlimentsRationBovinsFemelles,8,FALSE),0)+(IF(QualitéAlimentsVeauxMâles_3_6_mois=MOYENNE,VLOOKUP("Sorgho ensilé",AlimentsRationBovinsMâles,7,FALSE),0)+(IF(QualitéAlimentsVeauxFemelles_3_6_mois=MOYENNE,VLOOKUP("Sorgho ensilé",AlimentsRationBovinsFemelles,7,FALSE),0)+(IF(QualitéAlimentsVeauxMâles_6_12_mois=MOYENNE,VLOOKUP("Sorgho ensilé",AlimentsRationBovinsMâles,6,FALSE),0)+(IF(QualitéAlimentsVeauxFemelles_6_12_mois=MOYENNE,VLOOKUP("Sorgho ensilé",AlimentsRationBovinsFemelles,6,FALSE),0)+(IF(QualitéAlimentsTaurillons_12_18_mois=MOYENNE,VLOOKUP("Sorgho ensilé",AlimentsRationBovinsMâles,5,FALSE),0)+(IF(QualitéAlimentsGénisses_12_18_mois=MOYENNE,VLOOKUP("Sorgho ensilé",AlimentsRationBovinsFemelles,5,FALSE),0)+(IF(QualitéAlimentsTaurillons_18_24_mois=MOYENNE,VLOOKUP("Sorgho ensilé",AlimentsRationBovinsMâles,4,FALSE),0)+(IF(QualitéAlimentsGénisses_18_24_mois=MOYENNE,VLOOKUP("Sorgho ensilé",AlimentsRationBovinsFemelles,4,FALSE),0)+(IF(QualitéAlimentsTaurillons_24_36_mois=MOYENNE,VLOOKUP("Sorgho ensilé",AlimentsRationBovinsMâles,3,FALSE),0)+(IF(QualitéAlimentsGénisses_24_36_mois=MOYENNE,VLOOKUP("Sorgho ensilé",AlimentsRationBovinsFemelles,3,FALSE),0)+(IF(QualitéAlimentsTaureaux=MOYENNE,VLOOKUP("Sorgho ensilé",AlimentsRationBovinsMâles,2,FALSE),0)+(IF(QualitéAlimentsVaches=MOYENNE,VLOOKUP("Sorgho ensilé",AlimentsRationBovinsFemelles,2,FALSE),0))))))))))))))))</f>
        <v>0</v>
      </c>
      <c r="BE370" s="333">
        <f t="array" ref="BE370">SUM((IF(QualitéAlimentsVeauxMâles_0_3_mois=MAUVAISE,VLOOKUP("Sorgho ensilé",AlimentsRationBovinsMâles,8,FALSE),0)+(IF(QualitéAlimentsVeauxFemelles_0_3_mois=MAUVAISE,VLOOKUP("Sorgho ensilé",AlimentsRationBovinsFemelles,8,FALSE),0)+(IF(QualitéAlimentsVeauxMâles_3_6_mois=MAUVAISE,VLOOKUP("Sorgho ensilé",AlimentsRationBovinsMâles,7,FALSE),0)+(IF(QualitéAlimentsVeauxFemelles_3_6_mois=MAUVAISE,VLOOKUP("Sorgho ensilé",AlimentsRationBovinsFemelles,7,FALSE),0)+(IF(QualitéAlimentsVeauxMâles_6_12_mois=MAUVAISE,VLOOKUP("Sorgho ensilé",AlimentsRationBovinsMâles,6,FALSE),0)+(IF(QualitéAlimentsVeauxFemelles_6_12_mois=MAUVAISE,VLOOKUP("Sorgho ensilé",AlimentsRationBovinsFemelles,6,FALSE),0)+(IF(QualitéAlimentsTaurillons_12_18_mois=MAUVAISE,VLOOKUP("Sorgho ensilé",AlimentsRationBovinsMâles,5,FALSE),0)+(IF(QualitéAlimentsGénisses_12_18_mois=MAUVAISE,VLOOKUP("Sorgho ensilé",AlimentsRationBovinsFemelles,5,FALSE),0)+(IF(QualitéAlimentsTaurillons_18_24_mois=MAUVAISE,VLOOKUP("Sorgho ensilé",AlimentsRationBovinsMâles,4,FALSE),0)+(IF(QualitéAlimentsGénisses_18_24_mois=MAUVAISE,VLOOKUP("Sorgho ensilé",AlimentsRationBovinsFemelles,4,FALSE),0)+(IF(QualitéAlimentsTaurillons_24_36_mois=MAUVAISE,VLOOKUP("Sorgho ensilé",AlimentsRationBovinsMâles,3,FALSE),0)+(IF(QualitéAlimentsGénisses_24_36_mois=MAUVAISE,VLOOKUP("Sorgho ensilé",AlimentsRationBovinsFemelles,3,FALSE),0)+(IF(QualitéAlimentsTaureaux=MAUVAISE,VLOOKUP("Sorgho ensilé",AlimentsRationBovinsMâles,2,FALSE),0)+(IF(QualitéAlimentsVaches=MAUVAISE,VLOOKUP("Sorgho ensilé",AlimentsRationBovinsFemelles,2,FALSE),0))))))))))))))))</f>
        <v>0</v>
      </c>
      <c r="CF370" s="277"/>
      <c r="CG370" s="276"/>
      <c r="CH370" s="276"/>
    </row>
    <row r="371" spans="1:86" ht="12.75" customHeight="1" x14ac:dyDescent="0.2">
      <c r="A371" s="276"/>
      <c r="B371" s="276"/>
      <c r="BB371" s="332" t="str">
        <f t="shared" si="19"/>
        <v>Tournesol</v>
      </c>
      <c r="BC371" s="333">
        <f t="array" ref="BC371">SUM((IF(QualitéAlimentsVeauxMâles_0_3_mois=BONNE,VLOOKUP("Tournesol",AlimentsRationBovinsMâles,8,FALSE),0)+(IF(QualitéAlimentsVeauxFemelles_0_3_mois=BONNE,VLOOKUP("Tournesol",AlimentsRationBovinsFemelles,8,FALSE),0)+(IF(QualitéAlimentsVeauxMâles_3_6_mois=BONNE,VLOOKUP("Tournesol",AlimentsRationBovinsMâles,7,FALSE),0)+(IF(QualitéAlimentsVeauxFemelles_3_6_mois=BONNE,VLOOKUP("Tournesol",AlimentsRationBovinsFemelles,7,FALSE),0)+(IF(QualitéAlimentsVeauxMâles_6_12_mois=BONNE,VLOOKUP("Tournesol",AlimentsRationBovinsMâles,6,FALSE),0)+(IF(QualitéAlimentsVeauxFemelles_6_12_mois=BONNE,VLOOKUP("Tournesol",AlimentsRationBovinsFemelles,6,FALSE),0)+(IF(QualitéAlimentsTaurillons_12_18_mois=BONNE,VLOOKUP("Tournesol",AlimentsRationBovinsMâles,5,FALSE),0)+(IF(QualitéAlimentsGénisses_12_18_mois=BONNE,VLOOKUP("Tournesol",AlimentsRationBovinsFemelles,5,FALSE),0)+(IF(QualitéAlimentsTaurillons_18_24_mois=BONNE,VLOOKUP("Tournesol",AlimentsRationBovinsMâles,4,FALSE),0)+(IF(QualitéAlimentsGénisses_18_24_mois=BONNE,VLOOKUP("Tournesol",AlimentsRationBovinsFemelles,4,FALSE),0)+(IF(QualitéAlimentsTaurillons_24_36_mois=BONNE,VLOOKUP("Tournesol",AlimentsRationBovinsMâles,3,FALSE),0)+(IF(QualitéAlimentsGénisses_24_36_mois=BONNE,VLOOKUP("Tournesol",AlimentsRationBovinsFemelles,3,FALSE),0)+(IF(QualitéAlimentsTaureaux=BONNE,VLOOKUP("Tournesol",AlimentsRationBovinsMâles,2,FALSE),0)+(IF(QualitéAlimentsVaches=BONNE,VLOOKUP("Tournesol",AlimentsRationBovinsFemelles,2,FALSE),0))))))))))))))))</f>
        <v>0</v>
      </c>
      <c r="BD371" s="333">
        <f t="array" ref="BD371">SUM((IF(QualitéAlimentsVeauxMâles_0_3_mois=MOYENNE,VLOOKUP("Tournesol",AlimentsRationBovinsMâles,8,FALSE),0)+(IF(QualitéAlimentsVeauxFemelles_0_3_mois=MOYENNE,VLOOKUP("Tournesol",AlimentsRationBovinsFemelles,8,FALSE),0)+(IF(QualitéAlimentsVeauxMâles_3_6_mois=MOYENNE,VLOOKUP("Tournesol",AlimentsRationBovinsMâles,7,FALSE),0)+(IF(QualitéAlimentsVeauxFemelles_3_6_mois=MOYENNE,VLOOKUP("Tournesol",AlimentsRationBovinsFemelles,7,FALSE),0)+(IF(QualitéAlimentsVeauxMâles_6_12_mois=MOYENNE,VLOOKUP("Tournesol",AlimentsRationBovinsMâles,6,FALSE),0)+(IF(QualitéAlimentsVeauxFemelles_6_12_mois=MOYENNE,VLOOKUP("Tournesol",AlimentsRationBovinsFemelles,6,FALSE),0)+(IF(QualitéAlimentsTaurillons_12_18_mois=MOYENNE,VLOOKUP("Tournesol",AlimentsRationBovinsMâles,5,FALSE),0)+(IF(QualitéAlimentsGénisses_12_18_mois=MOYENNE,VLOOKUP("Tournesol",AlimentsRationBovinsFemelles,5,FALSE),0)+(IF(QualitéAlimentsTaurillons_18_24_mois=MOYENNE,VLOOKUP("Tournesol",AlimentsRationBovinsMâles,4,FALSE),0)+(IF(QualitéAlimentsGénisses_18_24_mois=MOYENNE,VLOOKUP("Tournesol",AlimentsRationBovinsFemelles,4,FALSE),0)+(IF(QualitéAlimentsTaurillons_24_36_mois=MOYENNE,VLOOKUP("Tournesol",AlimentsRationBovinsMâles,3,FALSE),0)+(IF(QualitéAlimentsGénisses_24_36_mois=MOYENNE,VLOOKUP("Tournesol",AlimentsRationBovinsFemelles,3,FALSE),0)+(IF(QualitéAlimentsTaureaux=MOYENNE,VLOOKUP("Tournesol",AlimentsRationBovinsMâles,2,FALSE),0)+(IF(QualitéAlimentsVaches=MOYENNE,VLOOKUP("Tournesol",AlimentsRationBovinsFemelles,2,FALSE),0))))))))))))))))</f>
        <v>0</v>
      </c>
      <c r="BE371" s="333">
        <f t="array" ref="BE371">SUM((IF(QualitéAlimentsVeauxMâles_0_3_mois=MAUVAISE,VLOOKUP("Tournesol",AlimentsRationBovinsMâles,8,FALSE),0)+(IF(QualitéAlimentsVeauxFemelles_0_3_mois=MAUVAISE,VLOOKUP("Tournesol",AlimentsRationBovinsFemelles,8,FALSE),0)+(IF(QualitéAlimentsVeauxMâles_3_6_mois=MAUVAISE,VLOOKUP("Tournesol",AlimentsRationBovinsMâles,7,FALSE),0)+(IF(QualitéAlimentsVeauxFemelles_3_6_mois=MAUVAISE,VLOOKUP("Tournesol",AlimentsRationBovinsFemelles,7,FALSE),0)+(IF(QualitéAlimentsVeauxMâles_6_12_mois=MAUVAISE,VLOOKUP("Tournesol",AlimentsRationBovinsMâles,6,FALSE),0)+(IF(QualitéAlimentsVeauxFemelles_6_12_mois=MAUVAISE,VLOOKUP("Tournesol",AlimentsRationBovinsFemelles,6,FALSE),0)+(IF(QualitéAlimentsTaurillons_12_18_mois=MAUVAISE,VLOOKUP("Tournesol",AlimentsRationBovinsMâles,5,FALSE),0)+(IF(QualitéAlimentsGénisses_12_18_mois=MAUVAISE,VLOOKUP("Tournesol",AlimentsRationBovinsFemelles,5,FALSE),0)+(IF(QualitéAlimentsTaurillons_18_24_mois=MAUVAISE,VLOOKUP("Tournesol",AlimentsRationBovinsMâles,4,FALSE),0)+(IF(QualitéAlimentsGénisses_18_24_mois=MAUVAISE,VLOOKUP("Tournesol",AlimentsRationBovinsFemelles,4,FALSE),0)+(IF(QualitéAlimentsTaurillons_24_36_mois=MAUVAISE,VLOOKUP("Tournesol",AlimentsRationBovinsMâles,3,FALSE),0)+(IF(QualitéAlimentsGénisses_24_36_mois=MAUVAISE,VLOOKUP("Tournesol",AlimentsRationBovinsFemelles,3,FALSE),0)+(IF(QualitéAlimentsTaureaux=MAUVAISE,VLOOKUP("Tournesol",AlimentsRationBovinsMâles,2,FALSE),0)+(IF(QualitéAlimentsVaches=MAUVAISE,VLOOKUP("Tournesol",AlimentsRationBovinsFemelles,2,FALSE),0))))))))))))))))</f>
        <v>0</v>
      </c>
      <c r="CF371" s="277"/>
      <c r="CG371" s="276"/>
      <c r="CH371" s="276"/>
    </row>
    <row r="372" spans="1:86" ht="12.75" customHeight="1" x14ac:dyDescent="0.2">
      <c r="A372" s="276"/>
      <c r="B372" s="276"/>
      <c r="BB372" s="332" t="str">
        <f t="shared" si="19"/>
        <v>Tourteau de colza</v>
      </c>
      <c r="BC372" s="333">
        <f t="array" ref="BC372">SUM((IF(QualitéAlimentsVeauxMâles_0_3_mois=BONNE,VLOOKUP("Tourteau de colza",AlimentsRationBovinsMâles,8,FALSE),0)+(IF(QualitéAlimentsVeauxFemelles_0_3_mois=BONNE,VLOOKUP("Tourteau de colza",AlimentsRationBovinsFemelles,8,FALSE),0)+(IF(QualitéAlimentsVeauxMâles_3_6_mois=BONNE,VLOOKUP("Tourteau de colza",AlimentsRationBovinsMâles,7,FALSE),0)+(IF(QualitéAlimentsVeauxFemelles_3_6_mois=BONNE,VLOOKUP("Tourteau de colza",AlimentsRationBovinsFemelles,7,FALSE),0)+(IF(QualitéAlimentsVeauxMâles_6_12_mois=BONNE,VLOOKUP("Tourteau de colza",AlimentsRationBovinsMâles,6,FALSE),0)+(IF(QualitéAlimentsVeauxFemelles_6_12_mois=BONNE,VLOOKUP("Tourteau de colza",AlimentsRationBovinsFemelles,6,FALSE),0)+(IF(QualitéAlimentsTaurillons_12_18_mois=BONNE,VLOOKUP("Tourteau de colza",AlimentsRationBovinsMâles,5,FALSE),0)+(IF(QualitéAlimentsGénisses_12_18_mois=BONNE,VLOOKUP("Tourteau de colza",AlimentsRationBovinsFemelles,5,FALSE),0)+(IF(QualitéAlimentsTaurillons_18_24_mois=BONNE,VLOOKUP("Tourteau de colza",AlimentsRationBovinsMâles,4,FALSE),0)+(IF(QualitéAlimentsGénisses_18_24_mois=BONNE,VLOOKUP("Tourteau de colza",AlimentsRationBovinsFemelles,4,FALSE),0)+(IF(QualitéAlimentsTaurillons_24_36_mois=BONNE,VLOOKUP("Tourteau de colza",AlimentsRationBovinsMâles,3,FALSE),0)+(IF(QualitéAlimentsGénisses_24_36_mois=BONNE,VLOOKUP("Tourteau de colza",AlimentsRationBovinsFemelles,3,FALSE),0)+(IF(QualitéAlimentsTaureaux=BONNE,VLOOKUP("Tourteau de colza",AlimentsRationBovinsMâles,2,FALSE),0)+(IF(QualitéAlimentsVaches=BONNE,VLOOKUP("Tourteau de colza",AlimentsRationBovinsFemelles,2,FALSE),0))))))))))))))))</f>
        <v>0</v>
      </c>
      <c r="BD372" s="333">
        <f t="array" ref="BD372">SUM((IF(QualitéAlimentsVeauxMâles_0_3_mois=MOYENNE,VLOOKUP("Tourteau de colza",AlimentsRationBovinsMâles,8,FALSE),0)+(IF(QualitéAlimentsVeauxFemelles_0_3_mois=MOYENNE,VLOOKUP("Tourteau de colza",AlimentsRationBovinsFemelles,8,FALSE),0)+(IF(QualitéAlimentsVeauxMâles_3_6_mois=MOYENNE,VLOOKUP("Tourteau de colza",AlimentsRationBovinsMâles,7,FALSE),0)+(IF(QualitéAlimentsVeauxFemelles_3_6_mois=MOYENNE,VLOOKUP("Tourteau de colza",AlimentsRationBovinsFemelles,7,FALSE),0)+(IF(QualitéAlimentsVeauxMâles_6_12_mois=MOYENNE,VLOOKUP("Tourteau de colza",AlimentsRationBovinsMâles,6,FALSE),0)+(IF(QualitéAlimentsVeauxFemelles_6_12_mois=MOYENNE,VLOOKUP("Tourteau de colza",AlimentsRationBovinsFemelles,6,FALSE),0)+(IF(QualitéAlimentsTaurillons_12_18_mois=MOYENNE,VLOOKUP("Tourteau de colza",AlimentsRationBovinsMâles,5,FALSE),0)+(IF(QualitéAlimentsGénisses_12_18_mois=MOYENNE,VLOOKUP("Tourteau de colza",AlimentsRationBovinsFemelles,5,FALSE),0)+(IF(QualitéAlimentsTaurillons_18_24_mois=MOYENNE,VLOOKUP("Tourteau de colza",AlimentsRationBovinsMâles,4,FALSE),0)+(IF(QualitéAlimentsGénisses_18_24_mois=MOYENNE,VLOOKUP("Tourteau de colza",AlimentsRationBovinsFemelles,4,FALSE),0)+(IF(QualitéAlimentsTaurillons_24_36_mois=MOYENNE,VLOOKUP("Tourteau de colza",AlimentsRationBovinsMâles,3,FALSE),0)+(IF(QualitéAlimentsGénisses_24_36_mois=MOYENNE,VLOOKUP("Tourteau de colza",AlimentsRationBovinsFemelles,3,FALSE),0)+(IF(QualitéAlimentsTaureaux=MOYENNE,VLOOKUP("Tourteau de colza",AlimentsRationBovinsMâles,2,FALSE),0)+(IF(QualitéAlimentsVaches=MOYENNE,VLOOKUP("Tourteau de colza",AlimentsRationBovinsFemelles,2,FALSE),0))))))))))))))))</f>
        <v>0</v>
      </c>
      <c r="BE372" s="333">
        <f t="array" ref="BE372">SUM((IF(QualitéAlimentsVeauxMâles_0_3_mois=MAUVAISE,VLOOKUP("Tourteau de colza",AlimentsRationBovinsMâles,8,FALSE),0)+(IF(QualitéAlimentsVeauxFemelles_0_3_mois=MAUVAISE,VLOOKUP("Tourteau de colza",AlimentsRationBovinsFemelles,8,FALSE),0)+(IF(QualitéAlimentsVeauxMâles_3_6_mois=MAUVAISE,VLOOKUP("Tourteau de colza",AlimentsRationBovinsMâles,7,FALSE),0)+(IF(QualitéAlimentsVeauxFemelles_3_6_mois=MAUVAISE,VLOOKUP("Tourteau de colza",AlimentsRationBovinsFemelles,7,FALSE),0)+(IF(QualitéAlimentsVeauxMâles_6_12_mois=MAUVAISE,VLOOKUP("Tourteau de colza",AlimentsRationBovinsMâles,6,FALSE),0)+(IF(QualitéAlimentsVeauxFemelles_6_12_mois=MAUVAISE,VLOOKUP("Tourteau de colza",AlimentsRationBovinsFemelles,6,FALSE),0)+(IF(QualitéAlimentsTaurillons_12_18_mois=MAUVAISE,VLOOKUP("Tourteau de colza",AlimentsRationBovinsMâles,5,FALSE),0)+(IF(QualitéAlimentsGénisses_12_18_mois=MAUVAISE,VLOOKUP("Tourteau de colza",AlimentsRationBovinsFemelles,5,FALSE),0)+(IF(QualitéAlimentsTaurillons_18_24_mois=MAUVAISE,VLOOKUP("Tourteau de colza",AlimentsRationBovinsMâles,4,FALSE),0)+(IF(QualitéAlimentsGénisses_18_24_mois=MAUVAISE,VLOOKUP("Tourteau de colza",AlimentsRationBovinsFemelles,4,FALSE),0)+(IF(QualitéAlimentsTaurillons_24_36_mois=MAUVAISE,VLOOKUP("Tourteau de colza",AlimentsRationBovinsMâles,3,FALSE),0)+(IF(QualitéAlimentsGénisses_24_36_mois=MAUVAISE,VLOOKUP("Tourteau de colza",AlimentsRationBovinsFemelles,3,FALSE),0)+(IF(QualitéAlimentsTaureaux=MAUVAISE,VLOOKUP("Tourteau de colza",AlimentsRationBovinsMâles,2,FALSE),0)+(IF(QualitéAlimentsVaches=MAUVAISE,VLOOKUP("Tourteau de colza",AlimentsRationBovinsFemelles,2,FALSE),0))))))))))))))))</f>
        <v>0</v>
      </c>
      <c r="CF372" s="277"/>
      <c r="CG372" s="276"/>
      <c r="CH372" s="276"/>
    </row>
    <row r="373" spans="1:86" ht="12.75" customHeight="1" x14ac:dyDescent="0.2">
      <c r="A373" s="276"/>
      <c r="B373" s="276"/>
      <c r="BB373" s="332" t="str">
        <f t="shared" si="19"/>
        <v>Tourteau de tournesol</v>
      </c>
      <c r="BC373" s="333">
        <f t="array" ref="BC373">SUM((IF(QualitéAlimentsVeauxMâles_0_3_mois=BONNE,VLOOKUP("Tourteau de tournesol",AlimentsRationBovinsMâles,8,FALSE),0)+(IF(QualitéAlimentsVeauxFemelles_0_3_mois=BONNE,VLOOKUP("Tourteau de tournesol",AlimentsRationBovinsFemelles,8,FALSE),0)+(IF(QualitéAlimentsVeauxMâles_3_6_mois=BONNE,VLOOKUP("Tourteau de tournesol",AlimentsRationBovinsMâles,7,FALSE),0)+(IF(QualitéAlimentsVeauxFemelles_3_6_mois=BONNE,VLOOKUP("Tourteau de tournesol",AlimentsRationBovinsFemelles,7,FALSE),0)+(IF(QualitéAlimentsVeauxMâles_6_12_mois=BONNE,VLOOKUP("Tourteau de tournesol",AlimentsRationBovinsMâles,6,FALSE),0)+(IF(QualitéAlimentsVeauxFemelles_6_12_mois=BONNE,VLOOKUP("Tourteau de tournesol",AlimentsRationBovinsFemelles,6,FALSE),0)+(IF(QualitéAlimentsTaurillons_12_18_mois=BONNE,VLOOKUP("Tourteau de tournesol",AlimentsRationBovinsMâles,5,FALSE),0)+(IF(QualitéAlimentsGénisses_12_18_mois=BONNE,VLOOKUP("Tourteau de tournesol",AlimentsRationBovinsFemelles,5,FALSE),0)+(IF(QualitéAlimentsTaurillons_18_24_mois=BONNE,VLOOKUP("Tourteau de tournesol",AlimentsRationBovinsMâles,4,FALSE),0)+(IF(QualitéAlimentsGénisses_18_24_mois=BONNE,VLOOKUP("Tourteau de tournesol",AlimentsRationBovinsFemelles,4,FALSE),0)+(IF(QualitéAlimentsTaurillons_24_36_mois=BONNE,VLOOKUP("Tourteau de tournesol",AlimentsRationBovinsMâles,3,FALSE),0)+(IF(QualitéAlimentsGénisses_24_36_mois=BONNE,VLOOKUP("Tourteau de tournesol",AlimentsRationBovinsFemelles,3,FALSE),0)+(IF(QualitéAlimentsTaureaux=BONNE,VLOOKUP("Tourteau de tournesol",AlimentsRationBovinsMâles,2,FALSE),0)+(IF(QualitéAlimentsVaches=BONNE,VLOOKUP("Tourteau de tournesol",AlimentsRationBovinsFemelles,2,FALSE),0))))))))))))))))</f>
        <v>0</v>
      </c>
      <c r="BD373" s="333">
        <f t="array" ref="BD373">SUM((IF(QualitéAlimentsVeauxMâles_0_3_mois=MOYENNE,VLOOKUP("Tourteau de tournesol",AlimentsRationBovinsMâles,8,FALSE),0)+(IF(QualitéAlimentsVeauxFemelles_0_3_mois=MOYENNE,VLOOKUP("Tourteau de tournesol",AlimentsRationBovinsFemelles,8,FALSE),0)+(IF(QualitéAlimentsVeauxMâles_3_6_mois=MOYENNE,VLOOKUP("Tourteau de tournesol",AlimentsRationBovinsMâles,7,FALSE),0)+(IF(QualitéAlimentsVeauxFemelles_3_6_mois=MOYENNE,VLOOKUP("Tourteau de tournesol",AlimentsRationBovinsFemelles,7,FALSE),0)+(IF(QualitéAlimentsVeauxMâles_6_12_mois=MOYENNE,VLOOKUP("Tourteau de tournesol",AlimentsRationBovinsMâles,6,FALSE),0)+(IF(QualitéAlimentsVeauxFemelles_6_12_mois=MOYENNE,VLOOKUP("Tourteau de tournesol",AlimentsRationBovinsFemelles,6,FALSE),0)+(IF(QualitéAlimentsTaurillons_12_18_mois=MOYENNE,VLOOKUP("Tourteau de tournesol",AlimentsRationBovinsMâles,5,FALSE),0)+(IF(QualitéAlimentsGénisses_12_18_mois=MOYENNE,VLOOKUP("Tourteau de tournesol",AlimentsRationBovinsFemelles,5,FALSE),0)+(IF(QualitéAlimentsTaurillons_18_24_mois=MOYENNE,VLOOKUP("Tourteau de tournesol",AlimentsRationBovinsMâles,4,FALSE),0)+(IF(QualitéAlimentsGénisses_18_24_mois=MOYENNE,VLOOKUP("Tourteau de tournesol",AlimentsRationBovinsFemelles,4,FALSE),0)+(IF(QualitéAlimentsTaurillons_24_36_mois=MOYENNE,VLOOKUP("Tourteau de tournesol",AlimentsRationBovinsMâles,3,FALSE),0)+(IF(QualitéAlimentsGénisses_24_36_mois=MOYENNE,VLOOKUP("Tourteau de tournesol",AlimentsRationBovinsFemelles,3,FALSE),0)+(IF(QualitéAlimentsTaureaux=MOYENNE,VLOOKUP("Tourteau de tournesol",AlimentsRationBovinsMâles,2,FALSE),0)+(IF(QualitéAlimentsVaches=MOYENNE,VLOOKUP("Tourteau de tournesol",AlimentsRationBovinsFemelles,2,FALSE),0))))))))))))))))</f>
        <v>0</v>
      </c>
      <c r="BE373" s="333">
        <f t="array" ref="BE373">SUM((IF(QualitéAlimentsVeauxMâles_0_3_mois=MAUVAISE,VLOOKUP("Tourteau de tournesol",AlimentsRationBovinsMâles,8,FALSE),0)+(IF(QualitéAlimentsVeauxFemelles_0_3_mois=MAUVAISE,VLOOKUP("Tourteau de tournesol",AlimentsRationBovinsFemelles,8,FALSE),0)+(IF(QualitéAlimentsVeauxMâles_3_6_mois=MAUVAISE,VLOOKUP("Tourteau de tournesol",AlimentsRationBovinsMâles,7,FALSE),0)+(IF(QualitéAlimentsVeauxFemelles_3_6_mois=MAUVAISE,VLOOKUP("Tourteau de tournesol",AlimentsRationBovinsFemelles,7,FALSE),0)+(IF(QualitéAlimentsVeauxMâles_6_12_mois=MAUVAISE,VLOOKUP("Tourteau de tournesol",AlimentsRationBovinsMâles,6,FALSE),0)+(IF(QualitéAlimentsVeauxFemelles_6_12_mois=MAUVAISE,VLOOKUP("Tourteau de tournesol",AlimentsRationBovinsFemelles,6,FALSE),0)+(IF(QualitéAlimentsTaurillons_12_18_mois=MAUVAISE,VLOOKUP("Tourteau de tournesol",AlimentsRationBovinsMâles,5,FALSE),0)+(IF(QualitéAlimentsGénisses_12_18_mois=MAUVAISE,VLOOKUP("Tourteau de tournesol",AlimentsRationBovinsFemelles,5,FALSE),0)+(IF(QualitéAlimentsTaurillons_18_24_mois=MAUVAISE,VLOOKUP("Tourteau de tournesol",AlimentsRationBovinsMâles,4,FALSE),0)+(IF(QualitéAlimentsGénisses_18_24_mois=MAUVAISE,VLOOKUP("Tourteau de tournesol",AlimentsRationBovinsFemelles,4,FALSE),0)+(IF(QualitéAlimentsTaurillons_24_36_mois=MAUVAISE,VLOOKUP("Tourteau de tournesol",AlimentsRationBovinsMâles,3,FALSE),0)+(IF(QualitéAlimentsGénisses_24_36_mois=MAUVAISE,VLOOKUP("Tourteau de tournesol",AlimentsRationBovinsFemelles,3,FALSE),0)+(IF(QualitéAlimentsTaureaux=MAUVAISE,VLOOKUP("Tourteau de tournesol",AlimentsRationBovinsMâles,2,FALSE),0)+(IF(QualitéAlimentsVaches=MAUVAISE,VLOOKUP("Tourteau de tournesol",AlimentsRationBovinsFemelles,2,FALSE),0))))))))))))))))</f>
        <v>0</v>
      </c>
      <c r="CF373" s="277"/>
      <c r="CG373" s="276"/>
      <c r="CH373" s="276"/>
    </row>
    <row r="374" spans="1:86" ht="12.75" customHeight="1" x14ac:dyDescent="0.2">
      <c r="A374" s="276"/>
      <c r="B374" s="276"/>
      <c r="BB374" s="332" t="str">
        <f t="shared" si="19"/>
        <v>Triticale</v>
      </c>
      <c r="BC374" s="333">
        <f t="array" ref="BC374">SUM((IF(QualitéAlimentsVeauxMâles_0_3_mois=BONNE,VLOOKUP("Triticale",AlimentsRationBovinsMâles,8,FALSE),0)+(IF(QualitéAlimentsVeauxFemelles_0_3_mois=BONNE,VLOOKUP("Triticale",AlimentsRationBovinsFemelles,8,FALSE),0)+(IF(QualitéAlimentsVeauxMâles_3_6_mois=BONNE,VLOOKUP("Triticale",AlimentsRationBovinsMâles,7,FALSE),0)+(IF(QualitéAlimentsVeauxFemelles_3_6_mois=BONNE,VLOOKUP("Triticale",AlimentsRationBovinsFemelles,7,FALSE),0)+(IF(QualitéAlimentsVeauxMâles_6_12_mois=BONNE,VLOOKUP("Triticale",AlimentsRationBovinsMâles,6,FALSE),0)+(IF(QualitéAlimentsVeauxFemelles_6_12_mois=BONNE,VLOOKUP("Triticale",AlimentsRationBovinsFemelles,6,FALSE),0)+(IF(QualitéAlimentsTaurillons_12_18_mois=BONNE,VLOOKUP("Triticale",AlimentsRationBovinsMâles,5,FALSE),0)+(IF(QualitéAlimentsGénisses_12_18_mois=BONNE,VLOOKUP("Triticale",AlimentsRationBovinsFemelles,5,FALSE),0)+(IF(QualitéAlimentsTaurillons_18_24_mois=BONNE,VLOOKUP("Triticale",AlimentsRationBovinsMâles,4,FALSE),0)+(IF(QualitéAlimentsGénisses_18_24_mois=BONNE,VLOOKUP("Triticale",AlimentsRationBovinsFemelles,4,FALSE),0)+(IF(QualitéAlimentsTaurillons_24_36_mois=BONNE,VLOOKUP("Triticale",AlimentsRationBovinsMâles,3,FALSE),0)+(IF(QualitéAlimentsGénisses_24_36_mois=BONNE,VLOOKUP("Triticale",AlimentsRationBovinsFemelles,3,FALSE),0)+(IF(QualitéAlimentsTaureaux=BONNE,VLOOKUP("Triticale",AlimentsRationBovinsMâles,2,FALSE),0)+(IF(QualitéAlimentsVaches=BONNE,VLOOKUP("Triticale",AlimentsRationBovinsFemelles,2,FALSE),0))))))))))))))))</f>
        <v>0</v>
      </c>
      <c r="BD374" s="333">
        <f t="array" ref="BD374">SUM((IF(QualitéAlimentsVeauxMâles_0_3_mois=MOYENNE,VLOOKUP("Triticale",AlimentsRationBovinsMâles,8,FALSE),0)+(IF(QualitéAlimentsVeauxFemelles_0_3_mois=MOYENNE,VLOOKUP("Triticale",AlimentsRationBovinsFemelles,8,FALSE),0)+(IF(QualitéAlimentsVeauxMâles_3_6_mois=MOYENNE,VLOOKUP("Triticale",AlimentsRationBovinsMâles,7,FALSE),0)+(IF(QualitéAlimentsVeauxFemelles_3_6_mois=MOYENNE,VLOOKUP("Triticale",AlimentsRationBovinsFemelles,7,FALSE),0)+(IF(QualitéAlimentsVeauxMâles_6_12_mois=MOYENNE,VLOOKUP("Triticale",AlimentsRationBovinsMâles,6,FALSE),0)+(IF(QualitéAlimentsVeauxFemelles_6_12_mois=MOYENNE,VLOOKUP("Triticale",AlimentsRationBovinsFemelles,6,FALSE),0)+(IF(QualitéAlimentsTaurillons_12_18_mois=MOYENNE,VLOOKUP("Triticale",AlimentsRationBovinsMâles,5,FALSE),0)+(IF(QualitéAlimentsGénisses_12_18_mois=MOYENNE,VLOOKUP("Triticale",AlimentsRationBovinsFemelles,5,FALSE),0)+(IF(QualitéAlimentsTaurillons_18_24_mois=MOYENNE,VLOOKUP("Triticale",AlimentsRationBovinsMâles,4,FALSE),0)+(IF(QualitéAlimentsGénisses_18_24_mois=MOYENNE,VLOOKUP("Triticale",AlimentsRationBovinsFemelles,4,FALSE),0)+(IF(QualitéAlimentsTaurillons_24_36_mois=MOYENNE,VLOOKUP("Triticale",AlimentsRationBovinsMâles,3,FALSE),0)+(IF(QualitéAlimentsGénisses_24_36_mois=MOYENNE,VLOOKUP("Triticale",AlimentsRationBovinsFemelles,3,FALSE),0)+(IF(QualitéAlimentsTaureaux=MOYENNE,VLOOKUP("Triticale",AlimentsRationBovinsMâles,2,FALSE),0)+(IF(QualitéAlimentsVaches=MOYENNE,VLOOKUP("Triticale",AlimentsRationBovinsFemelles,2,FALSE),0))))))))))))))))</f>
        <v>0</v>
      </c>
      <c r="BE374" s="333">
        <f t="array" ref="BE374">SUM((IF(QualitéAlimentsVeauxMâles_0_3_mois=MAUVAISE,VLOOKUP("Triticale",AlimentsRationBovinsMâles,8,FALSE),0)+(IF(QualitéAlimentsVeauxFemelles_0_3_mois=MAUVAISE,VLOOKUP("Triticale",AlimentsRationBovinsFemelles,8,FALSE),0)+(IF(QualitéAlimentsVeauxMâles_3_6_mois=MAUVAISE,VLOOKUP("Triticale",AlimentsRationBovinsMâles,7,FALSE),0)+(IF(QualitéAlimentsVeauxFemelles_3_6_mois=MAUVAISE,VLOOKUP("Triticale",AlimentsRationBovinsFemelles,7,FALSE),0)+(IF(QualitéAlimentsVeauxMâles_6_12_mois=MAUVAISE,VLOOKUP("Triticale",AlimentsRationBovinsMâles,6,FALSE),0)+(IF(QualitéAlimentsVeauxFemelles_6_12_mois=MAUVAISE,VLOOKUP("Triticale",AlimentsRationBovinsFemelles,6,FALSE),0)+(IF(QualitéAlimentsTaurillons_12_18_mois=MAUVAISE,VLOOKUP("Triticale",AlimentsRationBovinsMâles,5,FALSE),0)+(IF(QualitéAlimentsGénisses_12_18_mois=MAUVAISE,VLOOKUP("Triticale",AlimentsRationBovinsFemelles,5,FALSE),0)+(IF(QualitéAlimentsTaurillons_18_24_mois=MAUVAISE,VLOOKUP("Triticale",AlimentsRationBovinsMâles,4,FALSE),0)+(IF(QualitéAlimentsGénisses_18_24_mois=MAUVAISE,VLOOKUP("Triticale",AlimentsRationBovinsFemelles,4,FALSE),0)+(IF(QualitéAlimentsTaurillons_24_36_mois=MAUVAISE,VLOOKUP("Triticale",AlimentsRationBovinsMâles,3,FALSE),0)+(IF(QualitéAlimentsGénisses_24_36_mois=MAUVAISE,VLOOKUP("Triticale",AlimentsRationBovinsFemelles,3,FALSE),0)+(IF(QualitéAlimentsTaureaux=MAUVAISE,VLOOKUP("Triticale",AlimentsRationBovinsMâles,2,FALSE),0)+(IF(QualitéAlimentsVaches=MAUVAISE,VLOOKUP("Triticale",AlimentsRationBovinsFemelles,2,FALSE),0))))))))))))))))</f>
        <v>0</v>
      </c>
      <c r="CF374" s="277"/>
      <c r="CG374" s="276"/>
      <c r="CH374" s="276"/>
    </row>
    <row r="375" spans="1:86" ht="12.75" customHeight="1" x14ac:dyDescent="0.2">
      <c r="A375" s="276"/>
      <c r="B375" s="276"/>
      <c r="BB375" s="332">
        <f t="shared" si="19"/>
        <v>0</v>
      </c>
      <c r="BC375" s="333"/>
      <c r="BD375" s="333"/>
      <c r="BE375" s="333"/>
      <c r="CF375" s="277"/>
      <c r="CG375" s="276"/>
      <c r="CH375" s="276"/>
    </row>
    <row r="376" spans="1:86" ht="12.75" customHeight="1" x14ac:dyDescent="0.2">
      <c r="A376" s="276"/>
      <c r="B376" s="276"/>
      <c r="BB376" s="332">
        <f t="shared" si="19"/>
        <v>0</v>
      </c>
      <c r="BC376" s="333"/>
      <c r="BD376" s="333"/>
      <c r="BE376" s="333"/>
      <c r="CF376" s="277"/>
      <c r="CG376" s="276"/>
      <c r="CH376" s="276"/>
    </row>
    <row r="377" spans="1:86" ht="12.75" customHeight="1" x14ac:dyDescent="0.2">
      <c r="A377" s="276"/>
      <c r="B377" s="276"/>
      <c r="BB377" s="332">
        <f t="shared" si="19"/>
        <v>0</v>
      </c>
      <c r="BC377" s="333"/>
      <c r="BD377" s="333"/>
      <c r="BE377" s="333"/>
      <c r="CF377" s="277"/>
      <c r="CG377" s="276"/>
      <c r="CH377" s="276"/>
    </row>
    <row r="378" spans="1:86" ht="12.75" customHeight="1" x14ac:dyDescent="0.2">
      <c r="A378" s="276"/>
      <c r="B378" s="276"/>
      <c r="BB378" s="332">
        <f t="shared" si="19"/>
        <v>0</v>
      </c>
      <c r="BC378" s="333"/>
      <c r="BD378" s="333"/>
      <c r="BE378" s="333"/>
      <c r="CF378" s="277"/>
      <c r="CG378" s="276"/>
      <c r="CH378" s="276"/>
    </row>
    <row r="379" spans="1:86" ht="12.75" customHeight="1" x14ac:dyDescent="0.2">
      <c r="A379" s="276"/>
      <c r="B379" s="276"/>
      <c r="BB379" s="332">
        <f t="shared" si="19"/>
        <v>0</v>
      </c>
      <c r="BC379" s="333"/>
      <c r="BD379" s="333"/>
      <c r="BE379" s="333"/>
      <c r="CF379" s="277"/>
      <c r="CG379" s="276"/>
      <c r="CH379" s="276"/>
    </row>
    <row r="380" spans="1:86" ht="12.75" customHeight="1" x14ac:dyDescent="0.2">
      <c r="A380" s="276"/>
      <c r="B380" s="276"/>
      <c r="BB380" s="332">
        <f t="shared" si="19"/>
        <v>0</v>
      </c>
      <c r="BC380" s="333"/>
      <c r="BD380" s="333"/>
      <c r="BE380" s="333"/>
      <c r="CF380" s="277"/>
      <c r="CG380" s="276"/>
      <c r="CH380" s="276"/>
    </row>
    <row r="381" spans="1:86" ht="12.75" customHeight="1" x14ac:dyDescent="0.2">
      <c r="A381" s="276"/>
      <c r="B381" s="276"/>
      <c r="BC381" s="278"/>
      <c r="BD381" s="279"/>
      <c r="CF381" s="277"/>
      <c r="CG381" s="276"/>
      <c r="CH381" s="276"/>
    </row>
    <row r="382" spans="1:86" ht="12.75" customHeight="1" x14ac:dyDescent="0.2">
      <c r="A382" s="276"/>
      <c r="B382" s="276"/>
      <c r="BC382" s="278"/>
      <c r="BD382" s="279"/>
      <c r="CF382" s="277"/>
      <c r="CG382" s="276"/>
      <c r="CH382" s="276"/>
    </row>
    <row r="383" spans="1:86" ht="12.75" customHeight="1" x14ac:dyDescent="0.2">
      <c r="A383" s="276"/>
      <c r="B383" s="276"/>
      <c r="BC383" s="278"/>
      <c r="BD383" s="279"/>
      <c r="CF383" s="277"/>
      <c r="CG383" s="276"/>
      <c r="CH383" s="276"/>
    </row>
    <row r="384" spans="1:86" ht="12.75" customHeight="1" x14ac:dyDescent="0.2">
      <c r="A384" s="276"/>
      <c r="B384" s="276"/>
      <c r="BC384" s="278"/>
      <c r="BD384" s="279"/>
      <c r="CF384" s="277"/>
      <c r="CG384" s="276"/>
      <c r="CH384" s="276"/>
    </row>
    <row r="385" spans="1:86" ht="12.75" customHeight="1" x14ac:dyDescent="0.2">
      <c r="A385" s="276"/>
      <c r="B385" s="276"/>
      <c r="BC385" s="278"/>
      <c r="BD385" s="279"/>
      <c r="CF385" s="277"/>
      <c r="CG385" s="276"/>
      <c r="CH385" s="276"/>
    </row>
    <row r="386" spans="1:86" ht="12.75" customHeight="1" x14ac:dyDescent="0.2">
      <c r="A386" s="276"/>
      <c r="B386" s="276"/>
      <c r="BC386" s="278"/>
      <c r="BD386" s="279"/>
      <c r="CF386" s="277"/>
      <c r="CG386" s="276"/>
      <c r="CH386" s="276"/>
    </row>
    <row r="387" spans="1:86" ht="12.75" customHeight="1" x14ac:dyDescent="0.2">
      <c r="A387" s="276"/>
      <c r="B387" s="276"/>
      <c r="BC387" s="278"/>
      <c r="BD387" s="279"/>
      <c r="CF387" s="277"/>
      <c r="CG387" s="276"/>
      <c r="CH387" s="276"/>
    </row>
    <row r="388" spans="1:86" ht="12.75" customHeight="1" x14ac:dyDescent="0.2">
      <c r="A388" s="276"/>
      <c r="B388" s="276"/>
      <c r="BC388" s="278"/>
      <c r="BD388" s="279"/>
      <c r="CF388" s="277"/>
      <c r="CG388" s="276"/>
      <c r="CH388" s="276"/>
    </row>
    <row r="389" spans="1:86" x14ac:dyDescent="0.2">
      <c r="A389" s="276"/>
      <c r="B389" s="276"/>
      <c r="BC389" s="278"/>
      <c r="BD389" s="279"/>
      <c r="CF389" s="277"/>
      <c r="CG389" s="276"/>
      <c r="CH389" s="276"/>
    </row>
    <row r="390" spans="1:86" x14ac:dyDescent="0.2">
      <c r="A390" s="276"/>
      <c r="B390" s="276"/>
      <c r="BC390" s="278"/>
      <c r="BD390" s="279"/>
      <c r="CF390" s="277"/>
      <c r="CG390" s="276"/>
      <c r="CH390" s="276"/>
    </row>
    <row r="391" spans="1:86" x14ac:dyDescent="0.2">
      <c r="A391" s="276"/>
      <c r="B391" s="276"/>
      <c r="BC391" s="278"/>
      <c r="BD391" s="279"/>
      <c r="CF391" s="277"/>
      <c r="CG391" s="276"/>
      <c r="CH391" s="276"/>
    </row>
    <row r="392" spans="1:86" x14ac:dyDescent="0.2">
      <c r="A392" s="276"/>
      <c r="B392" s="276"/>
      <c r="BC392" s="278"/>
      <c r="BD392" s="279"/>
      <c r="CF392" s="277"/>
      <c r="CG392" s="276"/>
      <c r="CH392" s="276"/>
    </row>
    <row r="393" spans="1:86" x14ac:dyDescent="0.2">
      <c r="A393" s="276"/>
      <c r="B393" s="276"/>
      <c r="BC393" s="278"/>
      <c r="BD393" s="279"/>
      <c r="CF393" s="277"/>
      <c r="CG393" s="276"/>
      <c r="CH393" s="276"/>
    </row>
    <row r="394" spans="1:86" x14ac:dyDescent="0.2">
      <c r="A394" s="276"/>
      <c r="B394" s="276"/>
      <c r="BC394" s="278"/>
      <c r="BD394" s="279"/>
      <c r="CF394" s="277"/>
      <c r="CG394" s="276"/>
      <c r="CH394" s="276"/>
    </row>
    <row r="395" spans="1:86" x14ac:dyDescent="0.2">
      <c r="A395" s="276"/>
      <c r="B395" s="276"/>
      <c r="BC395" s="278"/>
      <c r="BD395" s="279"/>
      <c r="CF395" s="277"/>
      <c r="CG395" s="276"/>
      <c r="CH395" s="276"/>
    </row>
    <row r="396" spans="1:86" x14ac:dyDescent="0.2">
      <c r="A396" s="276"/>
      <c r="B396" s="276"/>
      <c r="BC396" s="278"/>
      <c r="BD396" s="279"/>
      <c r="CF396" s="277"/>
      <c r="CG396" s="276"/>
      <c r="CH396" s="276"/>
    </row>
    <row r="397" spans="1:86" x14ac:dyDescent="0.2">
      <c r="A397" s="276"/>
      <c r="B397" s="276"/>
      <c r="BC397" s="278"/>
      <c r="BD397" s="279"/>
      <c r="CF397" s="277"/>
      <c r="CG397" s="276"/>
      <c r="CH397" s="276"/>
    </row>
    <row r="398" spans="1:86" x14ac:dyDescent="0.2">
      <c r="A398" s="276"/>
      <c r="B398" s="276"/>
      <c r="BC398" s="278"/>
      <c r="BD398" s="279"/>
      <c r="CF398" s="277"/>
      <c r="CG398" s="276"/>
      <c r="CH398" s="276"/>
    </row>
    <row r="399" spans="1:86" x14ac:dyDescent="0.2">
      <c r="A399" s="276"/>
      <c r="B399" s="276"/>
      <c r="BC399" s="278"/>
      <c r="BD399" s="279"/>
      <c r="CF399" s="277"/>
      <c r="CG399" s="276"/>
      <c r="CH399" s="276"/>
    </row>
    <row r="400" spans="1:86" x14ac:dyDescent="0.2">
      <c r="A400" s="276"/>
      <c r="B400" s="276"/>
      <c r="BC400" s="278"/>
      <c r="BD400" s="279"/>
      <c r="CF400" s="277"/>
      <c r="CG400" s="276"/>
      <c r="CH400" s="276"/>
    </row>
    <row r="401" spans="1:86" x14ac:dyDescent="0.2">
      <c r="A401" s="276"/>
      <c r="B401" s="276"/>
      <c r="BC401" s="278"/>
      <c r="BD401" s="279"/>
      <c r="CF401" s="277"/>
      <c r="CG401" s="276"/>
      <c r="CH401" s="276"/>
    </row>
    <row r="402" spans="1:86" x14ac:dyDescent="0.2">
      <c r="A402" s="276"/>
      <c r="B402" s="276"/>
      <c r="BC402" s="278"/>
      <c r="BD402" s="279"/>
      <c r="CF402" s="277"/>
      <c r="CG402" s="276"/>
      <c r="CH402" s="276"/>
    </row>
    <row r="403" spans="1:86" x14ac:dyDescent="0.2">
      <c r="A403" s="276"/>
      <c r="B403" s="276"/>
      <c r="BC403" s="278"/>
      <c r="BD403" s="279"/>
      <c r="CF403" s="277"/>
      <c r="CG403" s="276"/>
      <c r="CH403" s="276"/>
    </row>
    <row r="404" spans="1:86" x14ac:dyDescent="0.2">
      <c r="A404" s="276"/>
      <c r="B404" s="276"/>
      <c r="BC404" s="278"/>
      <c r="BD404" s="279"/>
      <c r="CF404" s="277"/>
      <c r="CG404" s="276"/>
      <c r="CH404" s="276"/>
    </row>
    <row r="405" spans="1:86" x14ac:dyDescent="0.2">
      <c r="A405" s="276"/>
      <c r="B405" s="276"/>
      <c r="BC405" s="278"/>
      <c r="BD405" s="279"/>
      <c r="CF405" s="277"/>
      <c r="CG405" s="276"/>
      <c r="CH405" s="276"/>
    </row>
    <row r="406" spans="1:86" x14ac:dyDescent="0.2">
      <c r="A406" s="276"/>
      <c r="B406" s="276"/>
      <c r="BC406" s="278"/>
      <c r="BD406" s="279"/>
      <c r="CF406" s="277"/>
      <c r="CG406" s="276"/>
      <c r="CH406" s="276"/>
    </row>
    <row r="407" spans="1:86" x14ac:dyDescent="0.2">
      <c r="A407" s="276"/>
      <c r="B407" s="276"/>
      <c r="BC407" s="278"/>
      <c r="BD407" s="279"/>
      <c r="CF407" s="277"/>
      <c r="CG407" s="276"/>
      <c r="CH407" s="276"/>
    </row>
    <row r="408" spans="1:86" x14ac:dyDescent="0.2">
      <c r="A408" s="276"/>
      <c r="B408" s="276"/>
      <c r="BC408" s="278"/>
      <c r="BD408" s="288"/>
      <c r="CF408" s="277"/>
      <c r="CG408" s="276"/>
      <c r="CH408" s="276"/>
    </row>
    <row r="409" spans="1:86" x14ac:dyDescent="0.2">
      <c r="A409" s="276"/>
      <c r="B409" s="276"/>
      <c r="BC409" s="278"/>
      <c r="BD409" s="288"/>
      <c r="CF409" s="277"/>
      <c r="CG409" s="276"/>
      <c r="CH409" s="276"/>
    </row>
    <row r="410" spans="1:86" x14ac:dyDescent="0.2">
      <c r="A410" s="276"/>
      <c r="B410" s="276"/>
      <c r="BC410" s="278"/>
      <c r="BD410" s="288"/>
      <c r="CF410" s="277"/>
      <c r="CG410" s="276"/>
      <c r="CH410" s="276"/>
    </row>
    <row r="411" spans="1:86" x14ac:dyDescent="0.2">
      <c r="A411" s="276"/>
      <c r="B411" s="276"/>
      <c r="BC411" s="278"/>
      <c r="BD411" s="279"/>
      <c r="CF411" s="277"/>
      <c r="CG411" s="276"/>
      <c r="CH411" s="276"/>
    </row>
    <row r="412" spans="1:86" x14ac:dyDescent="0.2">
      <c r="A412" s="276"/>
      <c r="B412" s="276"/>
      <c r="BC412" s="278"/>
      <c r="BD412" s="279"/>
      <c r="CF412" s="277"/>
      <c r="CG412" s="276"/>
      <c r="CH412" s="276"/>
    </row>
    <row r="413" spans="1:86" x14ac:dyDescent="0.2">
      <c r="A413" s="276"/>
      <c r="B413" s="276"/>
      <c r="BC413" s="278"/>
      <c r="BD413" s="279"/>
      <c r="CF413" s="277"/>
      <c r="CG413" s="276"/>
      <c r="CH413" s="276"/>
    </row>
    <row r="414" spans="1:86" x14ac:dyDescent="0.2">
      <c r="A414" s="276"/>
      <c r="B414" s="276"/>
      <c r="BC414" s="278"/>
      <c r="BD414" s="279"/>
      <c r="CF414" s="277"/>
      <c r="CG414" s="276"/>
      <c r="CH414" s="276"/>
    </row>
    <row r="415" spans="1:86" x14ac:dyDescent="0.2">
      <c r="A415" s="276"/>
      <c r="B415" s="276"/>
      <c r="BC415" s="317"/>
      <c r="BD415" s="279"/>
      <c r="CF415" s="277"/>
      <c r="CG415" s="276"/>
      <c r="CH415" s="276"/>
    </row>
    <row r="416" spans="1:86" x14ac:dyDescent="0.2">
      <c r="A416" s="276"/>
      <c r="B416" s="276"/>
      <c r="BC416" s="317"/>
      <c r="BD416" s="279"/>
      <c r="CF416" s="277"/>
      <c r="CG416" s="276"/>
      <c r="CH416" s="276"/>
    </row>
    <row r="417" spans="1:86" x14ac:dyDescent="0.2">
      <c r="A417" s="276"/>
      <c r="B417" s="276"/>
      <c r="BC417" s="317"/>
      <c r="BD417" s="279"/>
      <c r="CF417" s="277"/>
      <c r="CG417" s="276"/>
      <c r="CH417" s="276"/>
    </row>
    <row r="418" spans="1:86" x14ac:dyDescent="0.2">
      <c r="A418" s="276"/>
      <c r="B418" s="276"/>
      <c r="BC418" s="317"/>
      <c r="BD418" s="279"/>
      <c r="CF418" s="277"/>
      <c r="CG418" s="276"/>
      <c r="CH418" s="276"/>
    </row>
    <row r="419" spans="1:86" x14ac:dyDescent="0.2">
      <c r="A419" s="276"/>
      <c r="B419" s="276"/>
      <c r="BC419" s="317"/>
      <c r="BD419" s="279"/>
      <c r="CF419" s="277"/>
      <c r="CG419" s="276"/>
      <c r="CH419" s="276"/>
    </row>
    <row r="420" spans="1:86" x14ac:dyDescent="0.2">
      <c r="A420" s="276"/>
      <c r="B420" s="276"/>
      <c r="BC420" s="317"/>
      <c r="BD420" s="279"/>
      <c r="CF420" s="277"/>
      <c r="CG420" s="276"/>
      <c r="CH420" s="276"/>
    </row>
    <row r="421" spans="1:86" x14ac:dyDescent="0.2">
      <c r="A421" s="276"/>
      <c r="B421" s="276"/>
      <c r="BC421" s="317"/>
      <c r="BD421" s="279"/>
      <c r="CF421" s="277"/>
      <c r="CG421" s="276"/>
      <c r="CH421" s="276"/>
    </row>
    <row r="422" spans="1:86" x14ac:dyDescent="0.2">
      <c r="A422" s="276"/>
      <c r="B422" s="276"/>
      <c r="BC422" s="317"/>
      <c r="BD422" s="279"/>
      <c r="CF422" s="277"/>
      <c r="CG422" s="276"/>
      <c r="CH422" s="276"/>
    </row>
    <row r="423" spans="1:86" x14ac:dyDescent="0.2">
      <c r="A423" s="276"/>
      <c r="B423" s="276"/>
      <c r="BC423" s="317"/>
      <c r="BD423" s="279"/>
      <c r="CF423" s="277"/>
      <c r="CG423" s="276"/>
      <c r="CH423" s="276"/>
    </row>
    <row r="424" spans="1:86" x14ac:dyDescent="0.2">
      <c r="A424" s="276"/>
      <c r="B424" s="276"/>
      <c r="BC424" s="317"/>
      <c r="BD424" s="279"/>
      <c r="CF424" s="277"/>
      <c r="CG424" s="276"/>
      <c r="CH424" s="276"/>
    </row>
    <row r="425" spans="1:86" x14ac:dyDescent="0.2">
      <c r="A425" s="276"/>
      <c r="B425" s="276"/>
      <c r="BC425" s="317"/>
      <c r="BD425" s="279"/>
      <c r="CF425" s="277"/>
      <c r="CG425" s="276"/>
      <c r="CH425" s="276"/>
    </row>
    <row r="426" spans="1:86" x14ac:dyDescent="0.2">
      <c r="A426" s="276"/>
      <c r="B426" s="276"/>
      <c r="BC426" s="317"/>
      <c r="BD426" s="279"/>
      <c r="CF426" s="277"/>
      <c r="CG426" s="276"/>
      <c r="CH426" s="276"/>
    </row>
    <row r="427" spans="1:86" x14ac:dyDescent="0.2">
      <c r="A427" s="276"/>
      <c r="B427" s="276"/>
      <c r="BC427" s="317"/>
      <c r="BD427" s="279"/>
      <c r="CF427" s="277"/>
      <c r="CG427" s="276"/>
      <c r="CH427" s="276"/>
    </row>
    <row r="428" spans="1:86" x14ac:dyDescent="0.2">
      <c r="A428" s="276"/>
      <c r="B428" s="276"/>
      <c r="BC428" s="317"/>
      <c r="BD428" s="279"/>
      <c r="CF428" s="277"/>
      <c r="CG428" s="276"/>
      <c r="CH428" s="276"/>
    </row>
    <row r="429" spans="1:86" x14ac:dyDescent="0.2">
      <c r="A429" s="276"/>
      <c r="B429" s="276"/>
      <c r="BC429" s="317"/>
      <c r="BD429" s="279"/>
      <c r="CF429" s="277"/>
      <c r="CG429" s="276"/>
      <c r="CH429" s="276"/>
    </row>
    <row r="430" spans="1:86" x14ac:dyDescent="0.2">
      <c r="A430" s="276"/>
      <c r="B430" s="276"/>
      <c r="BC430" s="317"/>
      <c r="BD430" s="279"/>
      <c r="CF430" s="277"/>
      <c r="CG430" s="276"/>
      <c r="CH430" s="276"/>
    </row>
    <row r="431" spans="1:86" x14ac:dyDescent="0.2">
      <c r="A431" s="276"/>
      <c r="B431" s="276"/>
      <c r="BC431" s="317"/>
      <c r="BD431" s="279"/>
      <c r="CF431" s="277"/>
      <c r="CG431" s="276"/>
      <c r="CH431" s="276"/>
    </row>
    <row r="432" spans="1:86" x14ac:dyDescent="0.2">
      <c r="A432" s="276"/>
      <c r="B432" s="276"/>
      <c r="BC432" s="278"/>
      <c r="BD432" s="279"/>
      <c r="CF432" s="277"/>
      <c r="CG432" s="276"/>
      <c r="CH432" s="276"/>
    </row>
    <row r="433" spans="1:86" x14ac:dyDescent="0.2">
      <c r="A433" s="276"/>
      <c r="B433" s="276"/>
      <c r="BC433" s="317"/>
      <c r="BD433" s="279"/>
      <c r="CF433" s="277"/>
      <c r="CG433" s="276"/>
      <c r="CH433" s="276"/>
    </row>
    <row r="434" spans="1:86" x14ac:dyDescent="0.2">
      <c r="A434" s="276"/>
      <c r="B434" s="276"/>
      <c r="BC434" s="317"/>
      <c r="BD434" s="279"/>
      <c r="CF434" s="277"/>
      <c r="CG434" s="276"/>
      <c r="CH434" s="276"/>
    </row>
    <row r="435" spans="1:86" x14ac:dyDescent="0.2">
      <c r="A435" s="276"/>
      <c r="B435" s="276"/>
      <c r="BC435" s="317"/>
      <c r="BD435" s="279"/>
      <c r="CC435" s="281"/>
      <c r="CE435" s="276"/>
      <c r="CF435" s="277"/>
      <c r="CG435" s="276"/>
      <c r="CH435" s="276"/>
    </row>
    <row r="436" spans="1:86" x14ac:dyDescent="0.2">
      <c r="A436" s="276"/>
      <c r="B436" s="276"/>
      <c r="BC436" s="317"/>
      <c r="BD436" s="279"/>
      <c r="CC436" s="281"/>
      <c r="CF436" s="276"/>
      <c r="CG436" s="277"/>
      <c r="CH436" s="276"/>
    </row>
    <row r="437" spans="1:86" x14ac:dyDescent="0.2">
      <c r="A437" s="276"/>
      <c r="B437" s="276"/>
      <c r="BC437" s="317"/>
      <c r="BD437" s="279"/>
      <c r="CC437" s="281"/>
      <c r="CF437" s="276"/>
      <c r="CG437" s="277"/>
      <c r="CH437" s="276"/>
    </row>
    <row r="438" spans="1:86" x14ac:dyDescent="0.2">
      <c r="A438" s="276"/>
      <c r="B438" s="276"/>
      <c r="BC438" s="317"/>
      <c r="BD438" s="279"/>
      <c r="CC438" s="281"/>
      <c r="CF438" s="276"/>
      <c r="CG438" s="277"/>
      <c r="CH438" s="276"/>
    </row>
    <row r="439" spans="1:86" x14ac:dyDescent="0.2">
      <c r="A439" s="276"/>
      <c r="B439" s="276"/>
      <c r="BC439" s="278"/>
      <c r="BD439" s="279"/>
      <c r="CC439" s="281"/>
      <c r="CF439" s="276"/>
      <c r="CG439" s="277"/>
      <c r="CH439" s="276"/>
    </row>
    <row r="440" spans="1:86" x14ac:dyDescent="0.2">
      <c r="A440" s="276"/>
      <c r="B440" s="276"/>
      <c r="BC440" s="278"/>
      <c r="BD440" s="279"/>
      <c r="CC440" s="281"/>
      <c r="CF440" s="276"/>
      <c r="CG440" s="277"/>
      <c r="CH440" s="276"/>
    </row>
    <row r="441" spans="1:86" x14ac:dyDescent="0.2">
      <c r="A441" s="276"/>
      <c r="B441" s="276"/>
      <c r="BC441" s="278"/>
      <c r="BD441" s="279"/>
      <c r="CC441" s="281"/>
      <c r="CF441" s="276"/>
      <c r="CG441" s="277"/>
      <c r="CH441" s="276"/>
    </row>
    <row r="442" spans="1:86" x14ac:dyDescent="0.2">
      <c r="A442" s="276"/>
      <c r="B442" s="276"/>
      <c r="BC442" s="278"/>
      <c r="BD442" s="279"/>
      <c r="CC442" s="281"/>
      <c r="CG442" s="276"/>
      <c r="CH442" s="277"/>
    </row>
    <row r="443" spans="1:86" x14ac:dyDescent="0.2">
      <c r="A443" s="276"/>
      <c r="B443" s="276"/>
      <c r="BC443" s="278"/>
      <c r="BD443" s="279"/>
      <c r="CC443" s="281"/>
      <c r="CG443" s="276"/>
      <c r="CH443" s="277"/>
    </row>
    <row r="444" spans="1:86" x14ac:dyDescent="0.2">
      <c r="A444" s="276"/>
      <c r="B444" s="276"/>
      <c r="BC444" s="278"/>
      <c r="BD444" s="279"/>
      <c r="CC444" s="281"/>
      <c r="CG444" s="276"/>
      <c r="CH444" s="277"/>
    </row>
    <row r="445" spans="1:86" x14ac:dyDescent="0.2">
      <c r="A445" s="276"/>
      <c r="B445" s="276"/>
      <c r="BC445" s="278"/>
      <c r="BD445" s="279"/>
      <c r="CC445" s="281"/>
      <c r="CG445" s="276"/>
      <c r="CH445" s="277"/>
    </row>
    <row r="446" spans="1:86" x14ac:dyDescent="0.2">
      <c r="A446" s="276"/>
      <c r="B446" s="276"/>
      <c r="BC446" s="278"/>
      <c r="BD446" s="279"/>
      <c r="CC446" s="281"/>
      <c r="CH446" s="276"/>
    </row>
    <row r="447" spans="1:86" x14ac:dyDescent="0.2">
      <c r="A447" s="276"/>
      <c r="B447" s="276"/>
      <c r="BC447" s="278"/>
      <c r="BD447" s="279"/>
      <c r="CC447" s="281"/>
      <c r="CH447" s="276"/>
    </row>
    <row r="448" spans="1:86" x14ac:dyDescent="0.2">
      <c r="A448" s="276"/>
      <c r="B448" s="276"/>
      <c r="BC448" s="278"/>
      <c r="BD448" s="279"/>
      <c r="CC448" s="281"/>
      <c r="CH448" s="276"/>
    </row>
    <row r="449" spans="1:56" x14ac:dyDescent="0.2">
      <c r="A449" s="276"/>
      <c r="B449" s="276"/>
      <c r="BC449" s="278"/>
      <c r="BD449" s="279"/>
    </row>
    <row r="450" spans="1:56" x14ac:dyDescent="0.2">
      <c r="A450" s="276"/>
      <c r="B450" s="276"/>
      <c r="BC450" s="278"/>
      <c r="BD450" s="279"/>
    </row>
    <row r="451" spans="1:56" x14ac:dyDescent="0.2">
      <c r="A451" s="276"/>
      <c r="B451" s="276"/>
      <c r="BC451" s="278"/>
      <c r="BD451" s="279"/>
    </row>
    <row r="452" spans="1:56" x14ac:dyDescent="0.2">
      <c r="A452" s="276"/>
      <c r="B452" s="276"/>
      <c r="BC452" s="278"/>
      <c r="BD452" s="279"/>
    </row>
    <row r="453" spans="1:56" x14ac:dyDescent="0.2">
      <c r="A453" s="276"/>
      <c r="B453" s="276"/>
      <c r="BC453" s="278"/>
      <c r="BD453" s="279"/>
    </row>
    <row r="454" spans="1:56" x14ac:dyDescent="0.2">
      <c r="A454" s="276"/>
      <c r="B454" s="276"/>
      <c r="BC454" s="278"/>
      <c r="BD454" s="279"/>
    </row>
    <row r="455" spans="1:56" x14ac:dyDescent="0.2">
      <c r="A455" s="276"/>
      <c r="B455" s="276"/>
      <c r="BC455" s="278"/>
      <c r="BD455" s="279"/>
    </row>
    <row r="456" spans="1:56" x14ac:dyDescent="0.2">
      <c r="A456" s="276"/>
      <c r="B456" s="276"/>
      <c r="BC456" s="278"/>
      <c r="BD456" s="279"/>
    </row>
    <row r="457" spans="1:56" x14ac:dyDescent="0.2">
      <c r="A457" s="276"/>
      <c r="B457" s="276"/>
      <c r="BC457" s="278"/>
      <c r="BD457" s="279"/>
    </row>
    <row r="458" spans="1:56" x14ac:dyDescent="0.2">
      <c r="A458" s="276"/>
      <c r="B458" s="276"/>
      <c r="BC458" s="278"/>
      <c r="BD458" s="279"/>
    </row>
    <row r="459" spans="1:56" x14ac:dyDescent="0.2">
      <c r="A459" s="276"/>
      <c r="B459" s="276"/>
      <c r="BC459" s="278"/>
    </row>
    <row r="460" spans="1:56" x14ac:dyDescent="0.2">
      <c r="A460" s="276"/>
      <c r="B460" s="276"/>
    </row>
    <row r="461" spans="1:56" x14ac:dyDescent="0.2">
      <c r="A461" s="276"/>
      <c r="B461" s="276"/>
    </row>
    <row r="462" spans="1:56" x14ac:dyDescent="0.2">
      <c r="A462" s="276"/>
      <c r="B462" s="276"/>
    </row>
    <row r="463" spans="1:56" x14ac:dyDescent="0.2">
      <c r="A463" s="276"/>
      <c r="B463" s="276"/>
    </row>
    <row r="464" spans="1:56" x14ac:dyDescent="0.2">
      <c r="A464" s="276"/>
      <c r="B464" s="276"/>
    </row>
    <row r="465" spans="1:2" x14ac:dyDescent="0.2">
      <c r="A465" s="276"/>
      <c r="B465" s="276"/>
    </row>
    <row r="466" spans="1:2" x14ac:dyDescent="0.2">
      <c r="A466" s="276"/>
      <c r="B466" s="276"/>
    </row>
    <row r="467" spans="1:2" x14ac:dyDescent="0.2">
      <c r="A467" s="276"/>
      <c r="B467" s="276"/>
    </row>
    <row r="468" spans="1:2" x14ac:dyDescent="0.2">
      <c r="A468" s="276"/>
      <c r="B468" s="276"/>
    </row>
    <row r="469" spans="1:2" x14ac:dyDescent="0.2">
      <c r="A469" s="276"/>
      <c r="B469" s="276"/>
    </row>
    <row r="470" spans="1:2" x14ac:dyDescent="0.2">
      <c r="A470" s="276"/>
      <c r="B470" s="276"/>
    </row>
    <row r="471" spans="1:2" x14ac:dyDescent="0.2">
      <c r="A471" s="276"/>
      <c r="B471" s="276"/>
    </row>
    <row r="472" spans="1:2" x14ac:dyDescent="0.2">
      <c r="A472" s="276"/>
      <c r="B472" s="276"/>
    </row>
    <row r="473" spans="1:2" x14ac:dyDescent="0.2">
      <c r="A473" s="276"/>
      <c r="B473" s="276"/>
    </row>
    <row r="474" spans="1:2" x14ac:dyDescent="0.2">
      <c r="A474" s="276"/>
      <c r="B474" s="276"/>
    </row>
    <row r="475" spans="1:2" x14ac:dyDescent="0.2">
      <c r="A475" s="276"/>
      <c r="B475" s="276"/>
    </row>
    <row r="476" spans="1:2" x14ac:dyDescent="0.2">
      <c r="A476" s="276"/>
      <c r="B476" s="276"/>
    </row>
    <row r="477" spans="1:2" x14ac:dyDescent="0.2">
      <c r="A477" s="276"/>
      <c r="B477" s="276"/>
    </row>
    <row r="478" spans="1:2" x14ac:dyDescent="0.2">
      <c r="A478" s="276"/>
      <c r="B478" s="276"/>
    </row>
    <row r="479" spans="1:2" x14ac:dyDescent="0.2">
      <c r="A479" s="276"/>
      <c r="B479" s="276"/>
    </row>
    <row r="480" spans="1:2" x14ac:dyDescent="0.2">
      <c r="A480" s="276"/>
      <c r="B480" s="276"/>
    </row>
    <row r="481" spans="1:2" x14ac:dyDescent="0.2">
      <c r="A481" s="276"/>
      <c r="B481" s="276"/>
    </row>
    <row r="482" spans="1:2" x14ac:dyDescent="0.2">
      <c r="A482" s="276"/>
      <c r="B482" s="276"/>
    </row>
    <row r="483" spans="1:2" x14ac:dyDescent="0.2">
      <c r="A483" s="276"/>
      <c r="B483" s="276"/>
    </row>
    <row r="484" spans="1:2" x14ac:dyDescent="0.2">
      <c r="A484" s="276"/>
      <c r="B484" s="276"/>
    </row>
    <row r="485" spans="1:2" x14ac:dyDescent="0.2">
      <c r="A485" s="276"/>
      <c r="B485" s="276"/>
    </row>
    <row r="486" spans="1:2" x14ac:dyDescent="0.2">
      <c r="A486" s="276"/>
      <c r="B486" s="276"/>
    </row>
    <row r="487" spans="1:2" x14ac:dyDescent="0.2">
      <c r="A487" s="276"/>
      <c r="B487" s="276"/>
    </row>
    <row r="488" spans="1:2" x14ac:dyDescent="0.2">
      <c r="A488" s="276"/>
      <c r="B488" s="276"/>
    </row>
    <row r="489" spans="1:2" x14ac:dyDescent="0.2">
      <c r="A489" s="276"/>
      <c r="B489" s="276"/>
    </row>
    <row r="490" spans="1:2" x14ac:dyDescent="0.2">
      <c r="A490" s="276"/>
      <c r="B490" s="276"/>
    </row>
    <row r="491" spans="1:2" x14ac:dyDescent="0.2">
      <c r="A491" s="276"/>
      <c r="B491" s="276"/>
    </row>
    <row r="492" spans="1:2" x14ac:dyDescent="0.2">
      <c r="A492" s="276"/>
      <c r="B492" s="276"/>
    </row>
    <row r="493" spans="1:2" x14ac:dyDescent="0.2">
      <c r="A493" s="276"/>
      <c r="B493" s="276"/>
    </row>
    <row r="494" spans="1:2" x14ac:dyDescent="0.2">
      <c r="A494" s="276"/>
      <c r="B494" s="276"/>
    </row>
    <row r="495" spans="1:2" x14ac:dyDescent="0.2">
      <c r="A495" s="276"/>
      <c r="B495" s="276"/>
    </row>
    <row r="496" spans="1:2" x14ac:dyDescent="0.2">
      <c r="A496" s="276"/>
      <c r="B496" s="276"/>
    </row>
    <row r="497" spans="1:2" x14ac:dyDescent="0.2">
      <c r="A497" s="276"/>
      <c r="B497" s="276"/>
    </row>
    <row r="498" spans="1:2" x14ac:dyDescent="0.2">
      <c r="A498" s="276"/>
      <c r="B498" s="276"/>
    </row>
    <row r="499" spans="1:2" x14ac:dyDescent="0.2">
      <c r="A499" s="276"/>
      <c r="B499" s="276"/>
    </row>
    <row r="500" spans="1:2" x14ac:dyDescent="0.2">
      <c r="A500" s="276"/>
      <c r="B500" s="276"/>
    </row>
    <row r="501" spans="1:2" x14ac:dyDescent="0.2">
      <c r="A501" s="276"/>
      <c r="B501" s="276"/>
    </row>
    <row r="502" spans="1:2" x14ac:dyDescent="0.2">
      <c r="A502" s="276"/>
      <c r="B502" s="276"/>
    </row>
    <row r="503" spans="1:2" x14ac:dyDescent="0.2">
      <c r="A503" s="276"/>
      <c r="B503" s="276"/>
    </row>
    <row r="504" spans="1:2" x14ac:dyDescent="0.2">
      <c r="A504" s="276"/>
      <c r="B504" s="276"/>
    </row>
    <row r="505" spans="1:2" x14ac:dyDescent="0.2">
      <c r="A505" s="276"/>
      <c r="B505" s="276"/>
    </row>
    <row r="506" spans="1:2" x14ac:dyDescent="0.2">
      <c r="A506" s="276"/>
      <c r="B506" s="276"/>
    </row>
    <row r="507" spans="1:2" x14ac:dyDescent="0.2">
      <c r="A507" s="276"/>
      <c r="B507" s="276"/>
    </row>
    <row r="508" spans="1:2" x14ac:dyDescent="0.2">
      <c r="A508" s="276"/>
      <c r="B508" s="276"/>
    </row>
    <row r="509" spans="1:2" x14ac:dyDescent="0.2">
      <c r="A509" s="276"/>
      <c r="B509" s="276"/>
    </row>
    <row r="510" spans="1:2" x14ac:dyDescent="0.2">
      <c r="A510" s="276"/>
      <c r="B510" s="276"/>
    </row>
    <row r="511" spans="1:2" x14ac:dyDescent="0.2">
      <c r="A511" s="276"/>
      <c r="B511" s="276"/>
    </row>
    <row r="512" spans="1:2" x14ac:dyDescent="0.2">
      <c r="A512" s="276"/>
      <c r="B512" s="276"/>
    </row>
    <row r="513" spans="1:2" x14ac:dyDescent="0.2">
      <c r="A513" s="276"/>
      <c r="B513" s="276"/>
    </row>
    <row r="514" spans="1:2" x14ac:dyDescent="0.2">
      <c r="A514" s="276"/>
      <c r="B514" s="276"/>
    </row>
    <row r="515" spans="1:2" x14ac:dyDescent="0.2">
      <c r="A515" s="276"/>
      <c r="B515" s="276"/>
    </row>
    <row r="516" spans="1:2" x14ac:dyDescent="0.2">
      <c r="A516" s="276"/>
      <c r="B516" s="276"/>
    </row>
    <row r="517" spans="1:2" x14ac:dyDescent="0.2">
      <c r="A517" s="276"/>
      <c r="B517" s="276"/>
    </row>
    <row r="518" spans="1:2" x14ac:dyDescent="0.2">
      <c r="A518" s="276"/>
      <c r="B518" s="276"/>
    </row>
    <row r="519" spans="1:2" x14ac:dyDescent="0.2">
      <c r="A519" s="276"/>
      <c r="B519" s="276"/>
    </row>
    <row r="520" spans="1:2" x14ac:dyDescent="0.2">
      <c r="A520" s="276"/>
      <c r="B520" s="276"/>
    </row>
    <row r="521" spans="1:2" x14ac:dyDescent="0.2">
      <c r="A521" s="276"/>
      <c r="B521" s="276"/>
    </row>
    <row r="522" spans="1:2" x14ac:dyDescent="0.2">
      <c r="A522" s="276"/>
      <c r="B522" s="276"/>
    </row>
    <row r="523" spans="1:2" x14ac:dyDescent="0.2">
      <c r="A523" s="276"/>
      <c r="B523" s="276"/>
    </row>
    <row r="524" spans="1:2" x14ac:dyDescent="0.2">
      <c r="A524" s="276"/>
      <c r="B524" s="276"/>
    </row>
    <row r="525" spans="1:2" x14ac:dyDescent="0.2">
      <c r="A525" s="276"/>
      <c r="B525" s="276"/>
    </row>
    <row r="526" spans="1:2" x14ac:dyDescent="0.2">
      <c r="A526" s="276"/>
      <c r="B526" s="276"/>
    </row>
    <row r="527" spans="1:2" x14ac:dyDescent="0.2">
      <c r="A527" s="276"/>
      <c r="B527" s="276"/>
    </row>
    <row r="528" spans="1:2" x14ac:dyDescent="0.2">
      <c r="A528" s="276"/>
      <c r="B528" s="276"/>
    </row>
    <row r="529" spans="1:2" x14ac:dyDescent="0.2">
      <c r="A529" s="276"/>
      <c r="B529" s="276"/>
    </row>
    <row r="530" spans="1:2" x14ac:dyDescent="0.2">
      <c r="A530" s="276"/>
      <c r="B530" s="276"/>
    </row>
    <row r="531" spans="1:2" x14ac:dyDescent="0.2">
      <c r="A531" s="276"/>
      <c r="B531" s="276"/>
    </row>
    <row r="532" spans="1:2" x14ac:dyDescent="0.2">
      <c r="A532" s="276"/>
      <c r="B532" s="276"/>
    </row>
    <row r="533" spans="1:2" x14ac:dyDescent="0.2">
      <c r="A533" s="276"/>
      <c r="B533" s="276"/>
    </row>
    <row r="534" spans="1:2" x14ac:dyDescent="0.2">
      <c r="A534" s="276"/>
      <c r="B534" s="276"/>
    </row>
    <row r="535" spans="1:2" x14ac:dyDescent="0.2">
      <c r="A535" s="276"/>
      <c r="B535" s="276"/>
    </row>
    <row r="536" spans="1:2" x14ac:dyDescent="0.2">
      <c r="A536" s="276"/>
      <c r="B536" s="276"/>
    </row>
    <row r="537" spans="1:2" x14ac:dyDescent="0.2">
      <c r="A537" s="276"/>
      <c r="B537" s="276"/>
    </row>
    <row r="538" spans="1:2" x14ac:dyDescent="0.2">
      <c r="A538" s="276"/>
      <c r="B538" s="276"/>
    </row>
    <row r="539" spans="1:2" x14ac:dyDescent="0.2">
      <c r="A539" s="276"/>
      <c r="B539" s="276"/>
    </row>
    <row r="540" spans="1:2" x14ac:dyDescent="0.2">
      <c r="A540" s="276"/>
      <c r="B540" s="276"/>
    </row>
    <row r="541" spans="1:2" x14ac:dyDescent="0.2">
      <c r="A541" s="276"/>
      <c r="B541" s="276"/>
    </row>
    <row r="542" spans="1:2" x14ac:dyDescent="0.2">
      <c r="A542" s="276"/>
      <c r="B542" s="276"/>
    </row>
    <row r="543" spans="1:2" x14ac:dyDescent="0.2">
      <c r="A543" s="276"/>
      <c r="B543" s="276"/>
    </row>
    <row r="544" spans="1:2" x14ac:dyDescent="0.2">
      <c r="A544" s="276"/>
      <c r="B544" s="276"/>
    </row>
    <row r="545" spans="1:2" x14ac:dyDescent="0.2">
      <c r="A545" s="276"/>
      <c r="B545" s="276"/>
    </row>
    <row r="546" spans="1:2" x14ac:dyDescent="0.2">
      <c r="A546" s="276"/>
      <c r="B546" s="276"/>
    </row>
    <row r="547" spans="1:2" x14ac:dyDescent="0.2">
      <c r="A547" s="276"/>
      <c r="B547" s="276"/>
    </row>
    <row r="548" spans="1:2" x14ac:dyDescent="0.2">
      <c r="A548" s="276"/>
      <c r="B548" s="276"/>
    </row>
    <row r="549" spans="1:2" x14ac:dyDescent="0.2">
      <c r="A549" s="276"/>
      <c r="B549" s="276"/>
    </row>
    <row r="550" spans="1:2" x14ac:dyDescent="0.2">
      <c r="A550" s="276"/>
      <c r="B550" s="276"/>
    </row>
    <row r="551" spans="1:2" x14ac:dyDescent="0.2">
      <c r="A551" s="276"/>
      <c r="B551" s="276"/>
    </row>
    <row r="552" spans="1:2" x14ac:dyDescent="0.2">
      <c r="A552" s="276"/>
      <c r="B552" s="276"/>
    </row>
    <row r="553" spans="1:2" x14ac:dyDescent="0.2">
      <c r="A553" s="276"/>
      <c r="B553" s="276"/>
    </row>
    <row r="554" spans="1:2" x14ac:dyDescent="0.2">
      <c r="A554" s="276"/>
      <c r="B554" s="276"/>
    </row>
    <row r="555" spans="1:2" x14ac:dyDescent="0.2">
      <c r="A555" s="276"/>
      <c r="B555" s="276"/>
    </row>
    <row r="556" spans="1:2" x14ac:dyDescent="0.2">
      <c r="A556" s="276"/>
      <c r="B556" s="276"/>
    </row>
    <row r="557" spans="1:2" x14ac:dyDescent="0.2">
      <c r="A557" s="276"/>
      <c r="B557" s="276"/>
    </row>
    <row r="558" spans="1:2" x14ac:dyDescent="0.2">
      <c r="A558" s="276"/>
      <c r="B558" s="276"/>
    </row>
    <row r="559" spans="1:2" x14ac:dyDescent="0.2">
      <c r="A559" s="278"/>
      <c r="B559" s="279"/>
    </row>
    <row r="560" spans="1:2" x14ac:dyDescent="0.2">
      <c r="A560" s="278"/>
      <c r="B560" s="279"/>
    </row>
    <row r="561" spans="1:2" x14ac:dyDescent="0.2">
      <c r="A561" s="278"/>
      <c r="B561" s="279"/>
    </row>
    <row r="562" spans="1:2" x14ac:dyDescent="0.2">
      <c r="A562" s="278"/>
      <c r="B562" s="279"/>
    </row>
    <row r="563" spans="1:2" x14ac:dyDescent="0.2">
      <c r="A563" s="278"/>
      <c r="B563" s="279"/>
    </row>
    <row r="564" spans="1:2" x14ac:dyDescent="0.2">
      <c r="A564" s="278"/>
      <c r="B564" s="279"/>
    </row>
    <row r="565" spans="1:2" x14ac:dyDescent="0.2">
      <c r="A565" s="278"/>
      <c r="B565" s="279"/>
    </row>
    <row r="566" spans="1:2" x14ac:dyDescent="0.2">
      <c r="A566" s="278"/>
      <c r="B566" s="279"/>
    </row>
    <row r="567" spans="1:2" x14ac:dyDescent="0.2">
      <c r="A567" s="278"/>
      <c r="B567" s="279"/>
    </row>
    <row r="568" spans="1:2" x14ac:dyDescent="0.2">
      <c r="A568" s="278"/>
      <c r="B568" s="279"/>
    </row>
    <row r="569" spans="1:2" x14ac:dyDescent="0.2">
      <c r="A569" s="278"/>
      <c r="B569" s="279"/>
    </row>
    <row r="570" spans="1:2" x14ac:dyDescent="0.2">
      <c r="A570" s="278"/>
      <c r="B570" s="279"/>
    </row>
    <row r="571" spans="1:2" x14ac:dyDescent="0.2">
      <c r="A571" s="278"/>
      <c r="B571" s="279"/>
    </row>
    <row r="572" spans="1:2" x14ac:dyDescent="0.2">
      <c r="A572" s="278"/>
      <c r="B572" s="279"/>
    </row>
    <row r="573" spans="1:2" x14ac:dyDescent="0.2">
      <c r="A573" s="278"/>
      <c r="B573" s="279"/>
    </row>
    <row r="574" spans="1:2" x14ac:dyDescent="0.2">
      <c r="A574" s="278"/>
      <c r="B574" s="279"/>
    </row>
    <row r="575" spans="1:2" x14ac:dyDescent="0.2">
      <c r="A575" s="278"/>
      <c r="B575" s="279"/>
    </row>
    <row r="576" spans="1:2" x14ac:dyDescent="0.2">
      <c r="A576" s="278"/>
      <c r="B576" s="279"/>
    </row>
    <row r="577" spans="1:2" x14ac:dyDescent="0.2">
      <c r="A577" s="278"/>
      <c r="B577" s="279"/>
    </row>
    <row r="578" spans="1:2" x14ac:dyDescent="0.2">
      <c r="A578" s="278"/>
      <c r="B578" s="279"/>
    </row>
    <row r="579" spans="1:2" x14ac:dyDescent="0.2">
      <c r="A579" s="278"/>
      <c r="B579" s="279"/>
    </row>
    <row r="580" spans="1:2" x14ac:dyDescent="0.2">
      <c r="A580" s="278"/>
      <c r="B580" s="279"/>
    </row>
    <row r="581" spans="1:2" x14ac:dyDescent="0.2">
      <c r="A581" s="278"/>
      <c r="B581" s="279"/>
    </row>
    <row r="582" spans="1:2" x14ac:dyDescent="0.2">
      <c r="A582" s="278"/>
      <c r="B582" s="279"/>
    </row>
    <row r="583" spans="1:2" x14ac:dyDescent="0.2">
      <c r="A583" s="278"/>
      <c r="B583" s="279"/>
    </row>
    <row r="584" spans="1:2" x14ac:dyDescent="0.2">
      <c r="A584" s="278"/>
      <c r="B584" s="279"/>
    </row>
    <row r="585" spans="1:2" x14ac:dyDescent="0.2">
      <c r="A585" s="278"/>
      <c r="B585" s="279"/>
    </row>
    <row r="586" spans="1:2" x14ac:dyDescent="0.2">
      <c r="A586" s="278"/>
      <c r="B586" s="279"/>
    </row>
    <row r="587" spans="1:2" x14ac:dyDescent="0.2">
      <c r="A587" s="278"/>
      <c r="B587" s="279"/>
    </row>
    <row r="588" spans="1:2" x14ac:dyDescent="0.2">
      <c r="A588" s="278"/>
      <c r="B588" s="279"/>
    </row>
    <row r="589" spans="1:2" x14ac:dyDescent="0.2">
      <c r="A589" s="278"/>
      <c r="B589" s="279"/>
    </row>
    <row r="590" spans="1:2" x14ac:dyDescent="0.2">
      <c r="A590" s="278"/>
      <c r="B590" s="279"/>
    </row>
    <row r="591" spans="1:2" x14ac:dyDescent="0.2">
      <c r="A591" s="278"/>
      <c r="B591" s="279"/>
    </row>
    <row r="592" spans="1:2" x14ac:dyDescent="0.2">
      <c r="A592" s="278"/>
      <c r="B592" s="279"/>
    </row>
    <row r="593" spans="1:2" x14ac:dyDescent="0.2">
      <c r="A593" s="278"/>
      <c r="B593" s="279"/>
    </row>
    <row r="594" spans="1:2" x14ac:dyDescent="0.2">
      <c r="A594" s="278"/>
      <c r="B594" s="279"/>
    </row>
    <row r="595" spans="1:2" x14ac:dyDescent="0.2">
      <c r="A595" s="278"/>
      <c r="B595" s="279"/>
    </row>
    <row r="596" spans="1:2" x14ac:dyDescent="0.2">
      <c r="A596" s="278"/>
      <c r="B596" s="279"/>
    </row>
    <row r="597" spans="1:2" x14ac:dyDescent="0.2">
      <c r="A597" s="278"/>
      <c r="B597" s="279"/>
    </row>
    <row r="598" spans="1:2" x14ac:dyDescent="0.2">
      <c r="A598" s="278"/>
      <c r="B598" s="279"/>
    </row>
    <row r="599" spans="1:2" x14ac:dyDescent="0.2">
      <c r="A599" s="278"/>
      <c r="B599" s="279"/>
    </row>
    <row r="600" spans="1:2" x14ac:dyDescent="0.2">
      <c r="A600" s="278"/>
      <c r="B600" s="279"/>
    </row>
    <row r="601" spans="1:2" x14ac:dyDescent="0.2">
      <c r="A601" s="278"/>
      <c r="B601" s="279"/>
    </row>
    <row r="602" spans="1:2" x14ac:dyDescent="0.2">
      <c r="A602" s="278"/>
    </row>
    <row r="603" spans="1:2" x14ac:dyDescent="0.2">
      <c r="A603" s="278"/>
      <c r="B603" s="279"/>
    </row>
    <row r="604" spans="1:2" x14ac:dyDescent="0.2">
      <c r="A604" s="278"/>
      <c r="B604" s="279"/>
    </row>
    <row r="605" spans="1:2" x14ac:dyDescent="0.2">
      <c r="A605" s="278"/>
      <c r="B605" s="279"/>
    </row>
    <row r="606" spans="1:2" x14ac:dyDescent="0.2">
      <c r="A606" s="278"/>
      <c r="B606" s="279"/>
    </row>
    <row r="607" spans="1:2" x14ac:dyDescent="0.2">
      <c r="A607" s="278"/>
      <c r="B607" s="279"/>
    </row>
    <row r="608" spans="1:2" x14ac:dyDescent="0.2">
      <c r="A608" s="278"/>
      <c r="B608" s="279"/>
    </row>
    <row r="609" spans="1:2" x14ac:dyDescent="0.2">
      <c r="A609" s="278"/>
      <c r="B609" s="279"/>
    </row>
    <row r="610" spans="1:2" x14ac:dyDescent="0.2">
      <c r="A610" s="278"/>
      <c r="B610" s="279"/>
    </row>
    <row r="611" spans="1:2" x14ac:dyDescent="0.2">
      <c r="A611" s="278"/>
      <c r="B611" s="279"/>
    </row>
    <row r="612" spans="1:2" x14ac:dyDescent="0.2">
      <c r="A612" s="278"/>
      <c r="B612" s="279"/>
    </row>
    <row r="613" spans="1:2" x14ac:dyDescent="0.2">
      <c r="A613" s="278"/>
      <c r="B613" s="279"/>
    </row>
    <row r="614" spans="1:2" x14ac:dyDescent="0.2">
      <c r="A614" s="278"/>
      <c r="B614" s="279"/>
    </row>
    <row r="615" spans="1:2" x14ac:dyDescent="0.2">
      <c r="A615" s="278"/>
      <c r="B615" s="279"/>
    </row>
    <row r="616" spans="1:2" x14ac:dyDescent="0.2">
      <c r="A616" s="278"/>
      <c r="B616" s="279"/>
    </row>
    <row r="617" spans="1:2" x14ac:dyDescent="0.2">
      <c r="A617" s="278"/>
      <c r="B617" s="279"/>
    </row>
    <row r="618" spans="1:2" x14ac:dyDescent="0.2">
      <c r="A618" s="278"/>
      <c r="B618" s="279"/>
    </row>
    <row r="619" spans="1:2" x14ac:dyDescent="0.2">
      <c r="A619" s="278"/>
      <c r="B619" s="279"/>
    </row>
    <row r="620" spans="1:2" x14ac:dyDescent="0.2">
      <c r="A620" s="278"/>
      <c r="B620" s="279"/>
    </row>
    <row r="621" spans="1:2" x14ac:dyDescent="0.2">
      <c r="A621" s="278"/>
      <c r="B621" s="279"/>
    </row>
    <row r="622" spans="1:2" x14ac:dyDescent="0.2">
      <c r="A622" s="278"/>
      <c r="B622" s="279"/>
    </row>
    <row r="623" spans="1:2" x14ac:dyDescent="0.2">
      <c r="A623" s="278"/>
      <c r="B623" s="279"/>
    </row>
    <row r="624" spans="1:2" x14ac:dyDescent="0.2">
      <c r="A624" s="278"/>
      <c r="B624" s="279"/>
    </row>
    <row r="625" spans="1:2" x14ac:dyDescent="0.2">
      <c r="A625" s="278"/>
      <c r="B625" s="279"/>
    </row>
    <row r="626" spans="1:2" x14ac:dyDescent="0.2">
      <c r="A626" s="278"/>
      <c r="B626" s="279"/>
    </row>
    <row r="627" spans="1:2" x14ac:dyDescent="0.2">
      <c r="A627" s="278"/>
      <c r="B627" s="279"/>
    </row>
    <row r="628" spans="1:2" x14ac:dyDescent="0.2">
      <c r="A628" s="278"/>
      <c r="B628" s="279"/>
    </row>
    <row r="629" spans="1:2" x14ac:dyDescent="0.2">
      <c r="A629" s="278"/>
      <c r="B629" s="279"/>
    </row>
    <row r="630" spans="1:2" x14ac:dyDescent="0.2">
      <c r="A630" s="278"/>
      <c r="B630" s="279"/>
    </row>
    <row r="631" spans="1:2" x14ac:dyDescent="0.2">
      <c r="A631" s="278"/>
      <c r="B631" s="279"/>
    </row>
    <row r="632" spans="1:2" x14ac:dyDescent="0.2">
      <c r="A632" s="278"/>
      <c r="B632" s="279"/>
    </row>
    <row r="633" spans="1:2" x14ac:dyDescent="0.2">
      <c r="A633" s="278"/>
      <c r="B633" s="279"/>
    </row>
    <row r="634" spans="1:2" x14ac:dyDescent="0.2">
      <c r="A634" s="278"/>
      <c r="B634" s="279"/>
    </row>
    <row r="635" spans="1:2" x14ac:dyDescent="0.2">
      <c r="A635" s="278"/>
      <c r="B635" s="279"/>
    </row>
    <row r="636" spans="1:2" x14ac:dyDescent="0.2">
      <c r="A636" s="278"/>
      <c r="B636" s="279"/>
    </row>
    <row r="637" spans="1:2" x14ac:dyDescent="0.2">
      <c r="A637" s="278"/>
      <c r="B637" s="279"/>
    </row>
    <row r="638" spans="1:2" x14ac:dyDescent="0.2">
      <c r="A638" s="278"/>
      <c r="B638" s="279"/>
    </row>
    <row r="639" spans="1:2" x14ac:dyDescent="0.2">
      <c r="A639" s="278"/>
      <c r="B639" s="279"/>
    </row>
    <row r="640" spans="1:2" x14ac:dyDescent="0.2">
      <c r="A640" s="278"/>
      <c r="B640" s="279"/>
    </row>
    <row r="641" spans="1:2" x14ac:dyDescent="0.2">
      <c r="A641" s="278"/>
      <c r="B641" s="279"/>
    </row>
    <row r="642" spans="1:2" x14ac:dyDescent="0.2">
      <c r="A642" s="278"/>
      <c r="B642" s="279"/>
    </row>
    <row r="643" spans="1:2" x14ac:dyDescent="0.2">
      <c r="A643" s="278"/>
      <c r="B643" s="279"/>
    </row>
    <row r="644" spans="1:2" x14ac:dyDescent="0.2">
      <c r="A644" s="278"/>
      <c r="B644" s="279"/>
    </row>
    <row r="645" spans="1:2" x14ac:dyDescent="0.2">
      <c r="A645" s="278"/>
      <c r="B645" s="279"/>
    </row>
    <row r="646" spans="1:2" x14ac:dyDescent="0.2">
      <c r="A646" s="278"/>
      <c r="B646" s="279"/>
    </row>
    <row r="647" spans="1:2" x14ac:dyDescent="0.2">
      <c r="A647" s="278"/>
      <c r="B647" s="279"/>
    </row>
    <row r="648" spans="1:2" x14ac:dyDescent="0.2">
      <c r="A648" s="278"/>
      <c r="B648" s="279"/>
    </row>
    <row r="649" spans="1:2" x14ac:dyDescent="0.2">
      <c r="A649" s="278"/>
      <c r="B649" s="279"/>
    </row>
    <row r="650" spans="1:2" x14ac:dyDescent="0.2">
      <c r="A650" s="278"/>
      <c r="B650" s="279"/>
    </row>
    <row r="651" spans="1:2" x14ac:dyDescent="0.2">
      <c r="A651" s="278"/>
      <c r="B651" s="279"/>
    </row>
    <row r="652" spans="1:2" x14ac:dyDescent="0.2">
      <c r="A652" s="278"/>
      <c r="B652" s="279"/>
    </row>
    <row r="653" spans="1:2" x14ac:dyDescent="0.2">
      <c r="A653" s="278"/>
      <c r="B653" s="279"/>
    </row>
    <row r="654" spans="1:2" x14ac:dyDescent="0.2">
      <c r="A654" s="278"/>
      <c r="B654" s="279"/>
    </row>
    <row r="655" spans="1:2" x14ac:dyDescent="0.2">
      <c r="A655" s="278"/>
      <c r="B655" s="279"/>
    </row>
    <row r="656" spans="1:2" x14ac:dyDescent="0.2">
      <c r="A656" s="278"/>
      <c r="B656" s="279"/>
    </row>
    <row r="657" spans="1:2" x14ac:dyDescent="0.2">
      <c r="A657" s="278"/>
      <c r="B657" s="279"/>
    </row>
    <row r="658" spans="1:2" x14ac:dyDescent="0.2">
      <c r="A658" s="278"/>
      <c r="B658" s="279"/>
    </row>
    <row r="659" spans="1:2" x14ac:dyDescent="0.2">
      <c r="A659" s="278"/>
      <c r="B659" s="279"/>
    </row>
    <row r="660" spans="1:2" x14ac:dyDescent="0.2">
      <c r="A660" s="278"/>
      <c r="B660" s="279"/>
    </row>
    <row r="661" spans="1:2" x14ac:dyDescent="0.2">
      <c r="A661" s="278"/>
      <c r="B661" s="279"/>
    </row>
    <row r="662" spans="1:2" x14ac:dyDescent="0.2">
      <c r="A662" s="278"/>
      <c r="B662" s="279"/>
    </row>
    <row r="663" spans="1:2" x14ac:dyDescent="0.2">
      <c r="A663" s="278"/>
      <c r="B663" s="279"/>
    </row>
    <row r="664" spans="1:2" x14ac:dyDescent="0.2">
      <c r="A664" s="278"/>
      <c r="B664" s="279"/>
    </row>
    <row r="665" spans="1:2" x14ac:dyDescent="0.2">
      <c r="A665" s="278"/>
      <c r="B665" s="279"/>
    </row>
    <row r="666" spans="1:2" x14ac:dyDescent="0.2">
      <c r="A666" s="278"/>
      <c r="B666" s="279"/>
    </row>
    <row r="667" spans="1:2" x14ac:dyDescent="0.2">
      <c r="A667" s="278"/>
      <c r="B667" s="279"/>
    </row>
    <row r="668" spans="1:2" x14ac:dyDescent="0.2">
      <c r="A668" s="278"/>
      <c r="B668" s="279"/>
    </row>
    <row r="669" spans="1:2" x14ac:dyDescent="0.2">
      <c r="A669" s="278"/>
      <c r="B669" s="279"/>
    </row>
    <row r="670" spans="1:2" x14ac:dyDescent="0.2">
      <c r="A670" s="278"/>
      <c r="B670" s="279"/>
    </row>
    <row r="671" spans="1:2" x14ac:dyDescent="0.2">
      <c r="A671" s="278"/>
      <c r="B671" s="279"/>
    </row>
    <row r="672" spans="1:2" x14ac:dyDescent="0.2">
      <c r="A672" s="278"/>
      <c r="B672" s="279"/>
    </row>
    <row r="673" spans="1:2" x14ac:dyDescent="0.2">
      <c r="A673" s="278"/>
      <c r="B673" s="279"/>
    </row>
    <row r="674" spans="1:2" x14ac:dyDescent="0.2">
      <c r="A674" s="278"/>
      <c r="B674" s="279"/>
    </row>
    <row r="675" spans="1:2" x14ac:dyDescent="0.2">
      <c r="A675" s="278"/>
      <c r="B675" s="279"/>
    </row>
    <row r="676" spans="1:2" x14ac:dyDescent="0.2">
      <c r="A676" s="278"/>
      <c r="B676" s="279"/>
    </row>
    <row r="677" spans="1:2" x14ac:dyDescent="0.2">
      <c r="A677" s="278"/>
      <c r="B677" s="279"/>
    </row>
    <row r="678" spans="1:2" x14ac:dyDescent="0.2">
      <c r="A678" s="278"/>
      <c r="B678" s="279"/>
    </row>
    <row r="679" spans="1:2" x14ac:dyDescent="0.2">
      <c r="A679" s="278"/>
      <c r="B679" s="279"/>
    </row>
    <row r="680" spans="1:2" x14ac:dyDescent="0.2">
      <c r="A680" s="278"/>
      <c r="B680" s="279"/>
    </row>
    <row r="681" spans="1:2" x14ac:dyDescent="0.2">
      <c r="A681" s="278"/>
      <c r="B681" s="279"/>
    </row>
    <row r="682" spans="1:2" x14ac:dyDescent="0.2">
      <c r="A682" s="278"/>
      <c r="B682" s="279"/>
    </row>
    <row r="683" spans="1:2" x14ac:dyDescent="0.2">
      <c r="A683" s="278"/>
      <c r="B683" s="279"/>
    </row>
    <row r="684" spans="1:2" x14ac:dyDescent="0.2">
      <c r="A684" s="278"/>
      <c r="B684" s="279"/>
    </row>
    <row r="685" spans="1:2" x14ac:dyDescent="0.2">
      <c r="A685" s="278"/>
      <c r="B685" s="279"/>
    </row>
    <row r="686" spans="1:2" x14ac:dyDescent="0.2">
      <c r="A686" s="278"/>
      <c r="B686" s="279"/>
    </row>
    <row r="687" spans="1:2" x14ac:dyDescent="0.2">
      <c r="A687" s="278"/>
      <c r="B687" s="279"/>
    </row>
    <row r="688" spans="1:2" x14ac:dyDescent="0.2">
      <c r="A688" s="278"/>
      <c r="B688" s="279"/>
    </row>
    <row r="689" spans="1:2" x14ac:dyDescent="0.2">
      <c r="A689" s="278"/>
      <c r="B689" s="279"/>
    </row>
    <row r="690" spans="1:2" x14ac:dyDescent="0.2">
      <c r="A690" s="278"/>
      <c r="B690" s="279"/>
    </row>
    <row r="691" spans="1:2" x14ac:dyDescent="0.2">
      <c r="A691" s="278"/>
      <c r="B691" s="279"/>
    </row>
    <row r="692" spans="1:2" x14ac:dyDescent="0.2">
      <c r="A692" s="278"/>
      <c r="B692" s="279"/>
    </row>
    <row r="693" spans="1:2" x14ac:dyDescent="0.2">
      <c r="A693" s="278"/>
      <c r="B693" s="279"/>
    </row>
    <row r="694" spans="1:2" x14ac:dyDescent="0.2">
      <c r="A694" s="278"/>
      <c r="B694" s="279"/>
    </row>
    <row r="695" spans="1:2" x14ac:dyDescent="0.2">
      <c r="A695" s="278"/>
      <c r="B695" s="279"/>
    </row>
    <row r="696" spans="1:2" x14ac:dyDescent="0.2">
      <c r="A696" s="278"/>
      <c r="B696" s="279"/>
    </row>
    <row r="697" spans="1:2" x14ac:dyDescent="0.2">
      <c r="A697" s="278"/>
      <c r="B697" s="279"/>
    </row>
    <row r="698" spans="1:2" x14ac:dyDescent="0.2">
      <c r="A698" s="278"/>
      <c r="B698" s="279"/>
    </row>
    <row r="699" spans="1:2" x14ac:dyDescent="0.2">
      <c r="A699" s="278"/>
      <c r="B699" s="279"/>
    </row>
    <row r="700" spans="1:2" x14ac:dyDescent="0.2">
      <c r="A700" s="278"/>
      <c r="B700" s="279"/>
    </row>
    <row r="701" spans="1:2" x14ac:dyDescent="0.2">
      <c r="A701" s="278"/>
      <c r="B701" s="279"/>
    </row>
    <row r="702" spans="1:2" x14ac:dyDescent="0.2">
      <c r="A702" s="278"/>
      <c r="B702" s="279"/>
    </row>
    <row r="703" spans="1:2" x14ac:dyDescent="0.2">
      <c r="A703" s="278"/>
      <c r="B703" s="279"/>
    </row>
    <row r="704" spans="1:2" x14ac:dyDescent="0.2">
      <c r="A704" s="278"/>
      <c r="B704" s="279"/>
    </row>
    <row r="705" spans="1:2" x14ac:dyDescent="0.2">
      <c r="A705" s="278"/>
      <c r="B705" s="279"/>
    </row>
    <row r="706" spans="1:2" x14ac:dyDescent="0.2">
      <c r="A706" s="278"/>
      <c r="B706" s="279"/>
    </row>
    <row r="707" spans="1:2" x14ac:dyDescent="0.2">
      <c r="A707" s="278"/>
      <c r="B707" s="279"/>
    </row>
    <row r="708" spans="1:2" x14ac:dyDescent="0.2">
      <c r="A708" s="278"/>
      <c r="B708" s="279"/>
    </row>
    <row r="709" spans="1:2" x14ac:dyDescent="0.2">
      <c r="A709" s="278"/>
      <c r="B709" s="279"/>
    </row>
    <row r="710" spans="1:2" x14ac:dyDescent="0.2">
      <c r="A710" s="278"/>
      <c r="B710" s="279"/>
    </row>
    <row r="711" spans="1:2" x14ac:dyDescent="0.2">
      <c r="A711" s="278"/>
      <c r="B711" s="279"/>
    </row>
    <row r="712" spans="1:2" x14ac:dyDescent="0.2">
      <c r="A712" s="278"/>
    </row>
    <row r="713" spans="1:2" x14ac:dyDescent="0.2">
      <c r="A713" s="278"/>
    </row>
    <row r="714" spans="1:2" x14ac:dyDescent="0.2">
      <c r="A714" s="278"/>
    </row>
    <row r="715" spans="1:2" x14ac:dyDescent="0.2">
      <c r="A715" s="278"/>
    </row>
    <row r="716" spans="1:2" x14ac:dyDescent="0.2">
      <c r="A716" s="278"/>
    </row>
    <row r="717" spans="1:2" x14ac:dyDescent="0.2">
      <c r="A717" s="278"/>
    </row>
    <row r="718" spans="1:2" x14ac:dyDescent="0.2">
      <c r="A718" s="278"/>
    </row>
    <row r="719" spans="1:2" x14ac:dyDescent="0.2">
      <c r="A719" s="278"/>
    </row>
    <row r="720" spans="1:2" x14ac:dyDescent="0.2">
      <c r="A720" s="278"/>
    </row>
    <row r="721" spans="1:2" x14ac:dyDescent="0.2">
      <c r="A721" s="278"/>
    </row>
    <row r="722" spans="1:2" x14ac:dyDescent="0.2">
      <c r="A722" s="278"/>
    </row>
    <row r="723" spans="1:2" x14ac:dyDescent="0.2">
      <c r="A723" s="278"/>
    </row>
    <row r="724" spans="1:2" x14ac:dyDescent="0.2">
      <c r="A724" s="278"/>
    </row>
    <row r="725" spans="1:2" x14ac:dyDescent="0.2">
      <c r="A725" s="278"/>
    </row>
    <row r="726" spans="1:2" x14ac:dyDescent="0.2">
      <c r="A726" s="278"/>
    </row>
    <row r="727" spans="1:2" x14ac:dyDescent="0.2">
      <c r="A727" s="278"/>
    </row>
    <row r="728" spans="1:2" x14ac:dyDescent="0.2">
      <c r="A728" s="278"/>
    </row>
    <row r="729" spans="1:2" x14ac:dyDescent="0.2">
      <c r="A729" s="278"/>
      <c r="B729" s="279"/>
    </row>
    <row r="730" spans="1:2" x14ac:dyDescent="0.2">
      <c r="A730" s="278"/>
      <c r="B730" s="279"/>
    </row>
    <row r="731" spans="1:2" x14ac:dyDescent="0.2">
      <c r="A731" s="278"/>
      <c r="B731" s="279"/>
    </row>
    <row r="732" spans="1:2" x14ac:dyDescent="0.2">
      <c r="A732" s="278"/>
      <c r="B732" s="279"/>
    </row>
    <row r="733" spans="1:2" x14ac:dyDescent="0.2">
      <c r="A733" s="278"/>
      <c r="B733" s="279"/>
    </row>
    <row r="734" spans="1:2" x14ac:dyDescent="0.2">
      <c r="A734" s="278"/>
      <c r="B734" s="279"/>
    </row>
    <row r="735" spans="1:2" x14ac:dyDescent="0.2">
      <c r="A735" s="278"/>
      <c r="B735" s="279"/>
    </row>
    <row r="736" spans="1:2" x14ac:dyDescent="0.2">
      <c r="A736" s="278"/>
      <c r="B736" s="279"/>
    </row>
    <row r="737" spans="1:2" x14ac:dyDescent="0.2">
      <c r="A737" s="278"/>
      <c r="B737" s="279"/>
    </row>
    <row r="738" spans="1:2" x14ac:dyDescent="0.2">
      <c r="A738" s="278"/>
      <c r="B738" s="279"/>
    </row>
    <row r="739" spans="1:2" x14ac:dyDescent="0.2">
      <c r="A739" s="278"/>
      <c r="B739" s="279"/>
    </row>
    <row r="740" spans="1:2" x14ac:dyDescent="0.2">
      <c r="A740" s="278"/>
      <c r="B740" s="279"/>
    </row>
    <row r="741" spans="1:2" x14ac:dyDescent="0.2">
      <c r="A741" s="278"/>
      <c r="B741" s="279"/>
    </row>
    <row r="742" spans="1:2" x14ac:dyDescent="0.2">
      <c r="A742" s="278"/>
      <c r="B742" s="279"/>
    </row>
    <row r="743" spans="1:2" x14ac:dyDescent="0.2">
      <c r="A743" s="278"/>
      <c r="B743" s="279"/>
    </row>
    <row r="744" spans="1:2" x14ac:dyDescent="0.2">
      <c r="A744" s="278"/>
      <c r="B744" s="279"/>
    </row>
    <row r="745" spans="1:2" x14ac:dyDescent="0.2">
      <c r="A745" s="278"/>
      <c r="B745" s="279"/>
    </row>
    <row r="746" spans="1:2" x14ac:dyDescent="0.2">
      <c r="A746" s="278"/>
      <c r="B746" s="279"/>
    </row>
    <row r="747" spans="1:2" x14ac:dyDescent="0.2">
      <c r="A747" s="278"/>
      <c r="B747" s="279"/>
    </row>
    <row r="748" spans="1:2" x14ac:dyDescent="0.2">
      <c r="A748" s="278"/>
      <c r="B748" s="279"/>
    </row>
    <row r="749" spans="1:2" x14ac:dyDescent="0.2">
      <c r="A749" s="278"/>
      <c r="B749" s="279"/>
    </row>
    <row r="750" spans="1:2" x14ac:dyDescent="0.2">
      <c r="A750" s="278"/>
      <c r="B750" s="279"/>
    </row>
    <row r="751" spans="1:2" x14ac:dyDescent="0.2">
      <c r="A751" s="278"/>
      <c r="B751" s="279"/>
    </row>
    <row r="752" spans="1:2" x14ac:dyDescent="0.2">
      <c r="A752" s="278"/>
      <c r="B752" s="279"/>
    </row>
    <row r="753" spans="1:2" x14ac:dyDescent="0.2">
      <c r="A753" s="278"/>
      <c r="B753" s="279"/>
    </row>
    <row r="754" spans="1:2" x14ac:dyDescent="0.2">
      <c r="A754" s="278"/>
      <c r="B754" s="279"/>
    </row>
    <row r="755" spans="1:2" x14ac:dyDescent="0.2">
      <c r="A755" s="278"/>
      <c r="B755" s="279"/>
    </row>
    <row r="756" spans="1:2" x14ac:dyDescent="0.2">
      <c r="A756" s="278"/>
      <c r="B756" s="279"/>
    </row>
    <row r="757" spans="1:2" x14ac:dyDescent="0.2">
      <c r="A757" s="278"/>
      <c r="B757" s="279"/>
    </row>
    <row r="758" spans="1:2" x14ac:dyDescent="0.2">
      <c r="A758" s="278"/>
      <c r="B758" s="279"/>
    </row>
    <row r="759" spans="1:2" x14ac:dyDescent="0.2">
      <c r="A759" s="278"/>
      <c r="B759" s="279"/>
    </row>
    <row r="760" spans="1:2" x14ac:dyDescent="0.2">
      <c r="A760" s="278"/>
      <c r="B760" s="279"/>
    </row>
    <row r="761" spans="1:2" x14ac:dyDescent="0.2">
      <c r="A761" s="278"/>
    </row>
    <row r="762" spans="1:2" x14ac:dyDescent="0.2">
      <c r="A762" s="278"/>
    </row>
    <row r="763" spans="1:2" x14ac:dyDescent="0.2">
      <c r="A763" s="278"/>
    </row>
    <row r="764" spans="1:2" x14ac:dyDescent="0.2">
      <c r="A764" s="278"/>
      <c r="B764" s="318"/>
    </row>
    <row r="765" spans="1:2" x14ac:dyDescent="0.2">
      <c r="A765" s="278"/>
    </row>
    <row r="766" spans="1:2" x14ac:dyDescent="0.2">
      <c r="A766" s="278"/>
    </row>
    <row r="767" spans="1:2" x14ac:dyDescent="0.2">
      <c r="A767" s="278"/>
    </row>
    <row r="768" spans="1:2" x14ac:dyDescent="0.2">
      <c r="A768" s="278"/>
    </row>
    <row r="769" spans="1:2" x14ac:dyDescent="0.2">
      <c r="A769" s="278"/>
    </row>
    <row r="770" spans="1:2" x14ac:dyDescent="0.2">
      <c r="A770" s="278"/>
    </row>
    <row r="771" spans="1:2" x14ac:dyDescent="0.2">
      <c r="A771" s="278"/>
    </row>
    <row r="772" spans="1:2" x14ac:dyDescent="0.2">
      <c r="A772" s="278"/>
    </row>
    <row r="773" spans="1:2" x14ac:dyDescent="0.2">
      <c r="A773" s="278"/>
    </row>
    <row r="774" spans="1:2" x14ac:dyDescent="0.2">
      <c r="A774" s="278"/>
    </row>
    <row r="775" spans="1:2" x14ac:dyDescent="0.2">
      <c r="A775" s="278"/>
    </row>
    <row r="776" spans="1:2" x14ac:dyDescent="0.2">
      <c r="A776" s="278"/>
    </row>
    <row r="777" spans="1:2" x14ac:dyDescent="0.2">
      <c r="A777" s="278"/>
    </row>
    <row r="778" spans="1:2" x14ac:dyDescent="0.2">
      <c r="A778" s="278"/>
    </row>
    <row r="779" spans="1:2" x14ac:dyDescent="0.2">
      <c r="A779" s="278"/>
      <c r="B779" s="279"/>
    </row>
    <row r="780" spans="1:2" x14ac:dyDescent="0.2">
      <c r="A780" s="278"/>
      <c r="B780" s="279"/>
    </row>
    <row r="781" spans="1:2" x14ac:dyDescent="0.2">
      <c r="A781" s="278"/>
      <c r="B781" s="279"/>
    </row>
    <row r="782" spans="1:2" x14ac:dyDescent="0.2">
      <c r="A782" s="278"/>
      <c r="B782" s="279"/>
    </row>
    <row r="783" spans="1:2" x14ac:dyDescent="0.2">
      <c r="A783" s="278"/>
      <c r="B783" s="279"/>
    </row>
    <row r="784" spans="1:2" x14ac:dyDescent="0.2">
      <c r="A784" s="278"/>
      <c r="B784" s="279"/>
    </row>
    <row r="785" spans="1:2" x14ac:dyDescent="0.2">
      <c r="A785" s="278"/>
      <c r="B785" s="279"/>
    </row>
    <row r="786" spans="1:2" x14ac:dyDescent="0.2">
      <c r="A786" s="278"/>
      <c r="B786" s="279"/>
    </row>
    <row r="787" spans="1:2" x14ac:dyDescent="0.2">
      <c r="A787" s="278"/>
      <c r="B787" s="279"/>
    </row>
    <row r="788" spans="1:2" x14ac:dyDescent="0.2">
      <c r="A788" s="278"/>
      <c r="B788" s="279"/>
    </row>
    <row r="789" spans="1:2" x14ac:dyDescent="0.2">
      <c r="A789" s="278"/>
      <c r="B789" s="279"/>
    </row>
    <row r="790" spans="1:2" x14ac:dyDescent="0.2">
      <c r="A790" s="278"/>
      <c r="B790" s="279"/>
    </row>
    <row r="791" spans="1:2" x14ac:dyDescent="0.2">
      <c r="A791" s="278"/>
      <c r="B791" s="279"/>
    </row>
    <row r="792" spans="1:2" x14ac:dyDescent="0.2">
      <c r="A792" s="278"/>
      <c r="B792" s="279"/>
    </row>
    <row r="793" spans="1:2" x14ac:dyDescent="0.2">
      <c r="A793" s="278"/>
      <c r="B793" s="279"/>
    </row>
    <row r="794" spans="1:2" x14ac:dyDescent="0.2">
      <c r="A794" s="278"/>
      <c r="B794" s="279"/>
    </row>
    <row r="795" spans="1:2" x14ac:dyDescent="0.2">
      <c r="A795" s="278"/>
      <c r="B795" s="279"/>
    </row>
    <row r="796" spans="1:2" x14ac:dyDescent="0.2">
      <c r="A796" s="278"/>
      <c r="B796" s="279"/>
    </row>
    <row r="797" spans="1:2" x14ac:dyDescent="0.2">
      <c r="A797" s="278"/>
      <c r="B797" s="279"/>
    </row>
    <row r="798" spans="1:2" x14ac:dyDescent="0.2">
      <c r="A798" s="278"/>
      <c r="B798" s="279"/>
    </row>
    <row r="799" spans="1:2" x14ac:dyDescent="0.2">
      <c r="A799" s="278"/>
      <c r="B799" s="279"/>
    </row>
    <row r="800" spans="1:2" x14ac:dyDescent="0.2">
      <c r="A800" s="278"/>
      <c r="B800" s="279"/>
    </row>
    <row r="801" spans="1:2" x14ac:dyDescent="0.2">
      <c r="A801" s="278"/>
      <c r="B801" s="279"/>
    </row>
    <row r="802" spans="1:2" x14ac:dyDescent="0.2">
      <c r="A802" s="278"/>
      <c r="B802" s="279"/>
    </row>
    <row r="803" spans="1:2" x14ac:dyDescent="0.2">
      <c r="A803" s="278"/>
      <c r="B803" s="279"/>
    </row>
    <row r="804" spans="1:2" x14ac:dyDescent="0.2">
      <c r="A804" s="278"/>
      <c r="B804" s="279"/>
    </row>
    <row r="805" spans="1:2" x14ac:dyDescent="0.2">
      <c r="A805" s="278"/>
      <c r="B805" s="279"/>
    </row>
    <row r="806" spans="1:2" x14ac:dyDescent="0.2">
      <c r="A806" s="278"/>
      <c r="B806" s="279"/>
    </row>
    <row r="807" spans="1:2" x14ac:dyDescent="0.2">
      <c r="A807" s="278"/>
      <c r="B807" s="279"/>
    </row>
    <row r="808" spans="1:2" x14ac:dyDescent="0.2">
      <c r="A808" s="278"/>
      <c r="B808" s="279"/>
    </row>
    <row r="809" spans="1:2" x14ac:dyDescent="0.2">
      <c r="A809" s="278"/>
      <c r="B809" s="279"/>
    </row>
    <row r="810" spans="1:2" x14ac:dyDescent="0.2">
      <c r="A810" s="278"/>
      <c r="B810" s="279"/>
    </row>
    <row r="811" spans="1:2" x14ac:dyDescent="0.2">
      <c r="A811" s="278"/>
      <c r="B811" s="279"/>
    </row>
    <row r="812" spans="1:2" x14ac:dyDescent="0.2">
      <c r="A812" s="278"/>
      <c r="B812" s="279"/>
    </row>
    <row r="813" spans="1:2" x14ac:dyDescent="0.2">
      <c r="A813" s="278"/>
      <c r="B813" s="279"/>
    </row>
    <row r="814" spans="1:2" x14ac:dyDescent="0.2">
      <c r="A814" s="278"/>
      <c r="B814" s="279"/>
    </row>
    <row r="815" spans="1:2" x14ac:dyDescent="0.2">
      <c r="A815" s="278"/>
      <c r="B815" s="279"/>
    </row>
    <row r="816" spans="1:2" x14ac:dyDescent="0.2">
      <c r="A816" s="278"/>
      <c r="B816" s="279"/>
    </row>
    <row r="817" spans="1:2" x14ac:dyDescent="0.2">
      <c r="A817" s="278"/>
      <c r="B817" s="279"/>
    </row>
    <row r="818" spans="1:2" x14ac:dyDescent="0.2">
      <c r="A818" s="278"/>
      <c r="B818" s="279"/>
    </row>
    <row r="819" spans="1:2" x14ac:dyDescent="0.2">
      <c r="A819" s="278"/>
      <c r="B819" s="279"/>
    </row>
    <row r="820" spans="1:2" x14ac:dyDescent="0.2">
      <c r="A820" s="278"/>
      <c r="B820" s="279"/>
    </row>
    <row r="821" spans="1:2" x14ac:dyDescent="0.2">
      <c r="A821" s="278"/>
      <c r="B821" s="279"/>
    </row>
    <row r="822" spans="1:2" x14ac:dyDescent="0.2">
      <c r="A822" s="278"/>
      <c r="B822" s="279"/>
    </row>
    <row r="823" spans="1:2" x14ac:dyDescent="0.2">
      <c r="A823" s="278"/>
      <c r="B823" s="279"/>
    </row>
    <row r="824" spans="1:2" x14ac:dyDescent="0.2">
      <c r="A824" s="278"/>
      <c r="B824" s="279"/>
    </row>
    <row r="825" spans="1:2" x14ac:dyDescent="0.2">
      <c r="A825" s="278"/>
      <c r="B825" s="279"/>
    </row>
    <row r="826" spans="1:2" x14ac:dyDescent="0.2">
      <c r="A826" s="278"/>
      <c r="B826" s="279"/>
    </row>
    <row r="827" spans="1:2" x14ac:dyDescent="0.2">
      <c r="A827" s="278"/>
      <c r="B827" s="279"/>
    </row>
    <row r="828" spans="1:2" x14ac:dyDescent="0.2">
      <c r="A828" s="278"/>
      <c r="B828" s="279"/>
    </row>
    <row r="829" spans="1:2" x14ac:dyDescent="0.2">
      <c r="A829" s="278"/>
      <c r="B829" s="279"/>
    </row>
    <row r="830" spans="1:2" x14ac:dyDescent="0.2">
      <c r="A830" s="278"/>
      <c r="B830" s="279"/>
    </row>
    <row r="831" spans="1:2" x14ac:dyDescent="0.2">
      <c r="A831" s="278"/>
      <c r="B831" s="279"/>
    </row>
    <row r="832" spans="1:2" x14ac:dyDescent="0.2">
      <c r="A832" s="278"/>
      <c r="B832" s="279"/>
    </row>
    <row r="833" spans="1:2" x14ac:dyDescent="0.2">
      <c r="A833" s="278"/>
      <c r="B833" s="279"/>
    </row>
    <row r="834" spans="1:2" x14ac:dyDescent="0.2">
      <c r="A834" s="278"/>
      <c r="B834" s="279"/>
    </row>
    <row r="835" spans="1:2" x14ac:dyDescent="0.2">
      <c r="A835" s="278"/>
      <c r="B835" s="279"/>
    </row>
    <row r="836" spans="1:2" x14ac:dyDescent="0.2">
      <c r="A836" s="278"/>
      <c r="B836" s="279"/>
    </row>
    <row r="837" spans="1:2" x14ac:dyDescent="0.2">
      <c r="A837" s="278"/>
      <c r="B837" s="279"/>
    </row>
    <row r="838" spans="1:2" x14ac:dyDescent="0.2">
      <c r="A838" s="278"/>
      <c r="B838" s="279"/>
    </row>
    <row r="839" spans="1:2" x14ac:dyDescent="0.2">
      <c r="A839" s="278"/>
      <c r="B839" s="279"/>
    </row>
    <row r="840" spans="1:2" x14ac:dyDescent="0.2">
      <c r="A840" s="278"/>
      <c r="B840" s="279"/>
    </row>
    <row r="841" spans="1:2" x14ac:dyDescent="0.2">
      <c r="A841" s="278"/>
      <c r="B841" s="279"/>
    </row>
    <row r="842" spans="1:2" x14ac:dyDescent="0.2">
      <c r="A842" s="278"/>
      <c r="B842" s="279"/>
    </row>
    <row r="843" spans="1:2" x14ac:dyDescent="0.2">
      <c r="A843" s="278"/>
      <c r="B843" s="279"/>
    </row>
    <row r="844" spans="1:2" x14ac:dyDescent="0.2">
      <c r="A844" s="278"/>
      <c r="B844" s="279"/>
    </row>
    <row r="845" spans="1:2" x14ac:dyDescent="0.2">
      <c r="A845" s="278"/>
      <c r="B845" s="279"/>
    </row>
    <row r="846" spans="1:2" x14ac:dyDescent="0.2">
      <c r="A846" s="278"/>
      <c r="B846" s="279"/>
    </row>
    <row r="847" spans="1:2" x14ac:dyDescent="0.2">
      <c r="A847" s="278"/>
      <c r="B847" s="279"/>
    </row>
    <row r="848" spans="1:2" x14ac:dyDescent="0.2">
      <c r="A848" s="278"/>
      <c r="B848" s="279"/>
    </row>
    <row r="849" spans="1:2" x14ac:dyDescent="0.2">
      <c r="A849" s="278"/>
      <c r="B849" s="279"/>
    </row>
    <row r="850" spans="1:2" x14ac:dyDescent="0.2">
      <c r="A850" s="278"/>
      <c r="B850" s="279"/>
    </row>
    <row r="851" spans="1:2" x14ac:dyDescent="0.2">
      <c r="A851" s="278"/>
      <c r="B851" s="279"/>
    </row>
    <row r="852" spans="1:2" x14ac:dyDescent="0.2">
      <c r="A852" s="278"/>
      <c r="B852" s="279"/>
    </row>
    <row r="853" spans="1:2" x14ac:dyDescent="0.2">
      <c r="A853" s="278"/>
      <c r="B853" s="279"/>
    </row>
    <row r="854" spans="1:2" x14ac:dyDescent="0.2">
      <c r="A854" s="278"/>
      <c r="B854" s="279"/>
    </row>
    <row r="855" spans="1:2" x14ac:dyDescent="0.2">
      <c r="A855" s="278"/>
      <c r="B855" s="279"/>
    </row>
    <row r="856" spans="1:2" x14ac:dyDescent="0.2">
      <c r="A856" s="278"/>
      <c r="B856" s="279"/>
    </row>
    <row r="857" spans="1:2" x14ac:dyDescent="0.2">
      <c r="A857" s="278"/>
      <c r="B857" s="279"/>
    </row>
    <row r="858" spans="1:2" x14ac:dyDescent="0.2">
      <c r="A858" s="278"/>
      <c r="B858" s="279"/>
    </row>
    <row r="859" spans="1:2" x14ac:dyDescent="0.2">
      <c r="A859" s="278"/>
      <c r="B859" s="279"/>
    </row>
    <row r="860" spans="1:2" x14ac:dyDescent="0.2">
      <c r="A860" s="278"/>
      <c r="B860" s="279"/>
    </row>
    <row r="861" spans="1:2" x14ac:dyDescent="0.2">
      <c r="A861" s="278"/>
      <c r="B861" s="279"/>
    </row>
    <row r="862" spans="1:2" x14ac:dyDescent="0.2">
      <c r="A862" s="278"/>
      <c r="B862" s="279"/>
    </row>
    <row r="863" spans="1:2" x14ac:dyDescent="0.2">
      <c r="A863" s="278"/>
      <c r="B863" s="279"/>
    </row>
    <row r="864" spans="1:2" x14ac:dyDescent="0.2">
      <c r="A864" s="278"/>
      <c r="B864" s="279"/>
    </row>
    <row r="865" spans="1:2" x14ac:dyDescent="0.2">
      <c r="A865" s="278"/>
      <c r="B865" s="279"/>
    </row>
    <row r="866" spans="1:2" x14ac:dyDescent="0.2">
      <c r="A866" s="278"/>
      <c r="B866" s="279"/>
    </row>
    <row r="867" spans="1:2" x14ac:dyDescent="0.2">
      <c r="A867" s="278"/>
      <c r="B867" s="279"/>
    </row>
    <row r="868" spans="1:2" x14ac:dyDescent="0.2">
      <c r="A868" s="278"/>
      <c r="B868" s="279"/>
    </row>
    <row r="869" spans="1:2" x14ac:dyDescent="0.2">
      <c r="A869" s="278"/>
      <c r="B869" s="279"/>
    </row>
    <row r="870" spans="1:2" x14ac:dyDescent="0.2">
      <c r="A870" s="278"/>
      <c r="B870" s="279"/>
    </row>
    <row r="871" spans="1:2" x14ac:dyDescent="0.2">
      <c r="A871" s="278"/>
      <c r="B871" s="279"/>
    </row>
    <row r="872" spans="1:2" x14ac:dyDescent="0.2">
      <c r="A872" s="278"/>
      <c r="B872" s="279"/>
    </row>
    <row r="873" spans="1:2" x14ac:dyDescent="0.2">
      <c r="A873" s="278"/>
      <c r="B873" s="279"/>
    </row>
    <row r="874" spans="1:2" x14ac:dyDescent="0.2">
      <c r="A874" s="278"/>
      <c r="B874" s="279"/>
    </row>
    <row r="875" spans="1:2" x14ac:dyDescent="0.2">
      <c r="A875" s="278"/>
      <c r="B875" s="279"/>
    </row>
    <row r="876" spans="1:2" x14ac:dyDescent="0.2">
      <c r="A876" s="278"/>
      <c r="B876" s="279"/>
    </row>
    <row r="877" spans="1:2" x14ac:dyDescent="0.2">
      <c r="A877" s="278"/>
      <c r="B877" s="279"/>
    </row>
    <row r="878" spans="1:2" x14ac:dyDescent="0.2">
      <c r="A878" s="278"/>
      <c r="B878" s="279"/>
    </row>
    <row r="879" spans="1:2" x14ac:dyDescent="0.2">
      <c r="A879" s="278"/>
      <c r="B879" s="279"/>
    </row>
    <row r="880" spans="1:2" x14ac:dyDescent="0.2">
      <c r="A880" s="278"/>
      <c r="B880" s="279"/>
    </row>
    <row r="881" spans="1:2" x14ac:dyDescent="0.2">
      <c r="A881" s="278"/>
      <c r="B881" s="279"/>
    </row>
    <row r="882" spans="1:2" x14ac:dyDescent="0.2">
      <c r="A882" s="278"/>
      <c r="B882" s="279"/>
    </row>
    <row r="883" spans="1:2" x14ac:dyDescent="0.2">
      <c r="A883" s="278"/>
      <c r="B883" s="279"/>
    </row>
    <row r="884" spans="1:2" x14ac:dyDescent="0.2">
      <c r="A884" s="278"/>
      <c r="B884" s="279"/>
    </row>
    <row r="885" spans="1:2" x14ac:dyDescent="0.2">
      <c r="A885" s="278"/>
      <c r="B885" s="279"/>
    </row>
    <row r="886" spans="1:2" x14ac:dyDescent="0.2">
      <c r="A886" s="278"/>
      <c r="B886" s="279"/>
    </row>
    <row r="887" spans="1:2" x14ac:dyDescent="0.2">
      <c r="A887" s="278"/>
      <c r="B887" s="279"/>
    </row>
    <row r="888" spans="1:2" x14ac:dyDescent="0.2">
      <c r="A888" s="278"/>
      <c r="B888" s="279"/>
    </row>
    <row r="889" spans="1:2" x14ac:dyDescent="0.2">
      <c r="A889" s="278"/>
      <c r="B889" s="279"/>
    </row>
    <row r="890" spans="1:2" x14ac:dyDescent="0.2">
      <c r="A890" s="278"/>
      <c r="B890" s="279"/>
    </row>
    <row r="891" spans="1:2" x14ac:dyDescent="0.2">
      <c r="A891" s="278"/>
      <c r="B891" s="279"/>
    </row>
    <row r="892" spans="1:2" x14ac:dyDescent="0.2">
      <c r="A892" s="278"/>
      <c r="B892" s="279"/>
    </row>
    <row r="893" spans="1:2" x14ac:dyDescent="0.2">
      <c r="A893" s="278"/>
      <c r="B893" s="279"/>
    </row>
    <row r="894" spans="1:2" x14ac:dyDescent="0.2">
      <c r="A894" s="278"/>
      <c r="B894" s="279"/>
    </row>
    <row r="895" spans="1:2" x14ac:dyDescent="0.2">
      <c r="A895" s="278"/>
      <c r="B895" s="279"/>
    </row>
    <row r="896" spans="1:2" x14ac:dyDescent="0.2">
      <c r="A896" s="278"/>
      <c r="B896" s="279"/>
    </row>
    <row r="897" spans="1:7" x14ac:dyDescent="0.2">
      <c r="A897" s="278"/>
      <c r="B897" s="279"/>
    </row>
    <row r="898" spans="1:7" x14ac:dyDescent="0.2">
      <c r="A898" s="278"/>
      <c r="B898" s="279"/>
    </row>
    <row r="899" spans="1:7" x14ac:dyDescent="0.2">
      <c r="A899" s="278"/>
      <c r="B899" s="279"/>
    </row>
    <row r="900" spans="1:7" x14ac:dyDescent="0.2">
      <c r="A900" s="278"/>
      <c r="B900" s="279"/>
    </row>
    <row r="901" spans="1:7" x14ac:dyDescent="0.2">
      <c r="A901" s="278"/>
      <c r="B901" s="279"/>
    </row>
    <row r="902" spans="1:7" x14ac:dyDescent="0.2">
      <c r="A902" s="278"/>
      <c r="B902" s="279"/>
    </row>
    <row r="903" spans="1:7" x14ac:dyDescent="0.2">
      <c r="A903" s="278"/>
      <c r="B903" s="279"/>
    </row>
    <row r="904" spans="1:7" x14ac:dyDescent="0.2">
      <c r="A904" s="278"/>
    </row>
    <row r="905" spans="1:7" x14ac:dyDescent="0.2">
      <c r="A905" s="278"/>
      <c r="B905" s="279"/>
    </row>
    <row r="906" spans="1:7" x14ac:dyDescent="0.2">
      <c r="A906" s="278"/>
    </row>
    <row r="907" spans="1:7" x14ac:dyDescent="0.2">
      <c r="A907" s="278"/>
    </row>
    <row r="908" spans="1:7" x14ac:dyDescent="0.2">
      <c r="A908" s="278"/>
    </row>
    <row r="909" spans="1:7" x14ac:dyDescent="0.2">
      <c r="A909" s="278"/>
    </row>
    <row r="910" spans="1:7" x14ac:dyDescent="0.2">
      <c r="A910" s="278"/>
      <c r="F910" s="277"/>
      <c r="G910" s="277"/>
    </row>
    <row r="911" spans="1:7" x14ac:dyDescent="0.2">
      <c r="A911" s="278"/>
      <c r="B911" s="279"/>
      <c r="F911" s="277"/>
      <c r="G911" s="277"/>
    </row>
    <row r="912" spans="1:7" x14ac:dyDescent="0.2">
      <c r="A912" s="278"/>
      <c r="B912" s="279"/>
      <c r="F912" s="277"/>
      <c r="G912" s="277"/>
    </row>
    <row r="913" spans="1:7" x14ac:dyDescent="0.2">
      <c r="A913" s="278"/>
      <c r="B913" s="279"/>
      <c r="F913" s="277"/>
      <c r="G913" s="277"/>
    </row>
    <row r="914" spans="1:7" x14ac:dyDescent="0.2">
      <c r="A914" s="278"/>
      <c r="B914" s="279"/>
      <c r="F914" s="277"/>
      <c r="G914" s="277"/>
    </row>
    <row r="915" spans="1:7" x14ac:dyDescent="0.2">
      <c r="A915" s="278"/>
      <c r="B915" s="279"/>
      <c r="F915" s="277"/>
      <c r="G915" s="277"/>
    </row>
    <row r="916" spans="1:7" x14ac:dyDescent="0.2">
      <c r="A916" s="278"/>
      <c r="B916" s="279"/>
    </row>
    <row r="917" spans="1:7" x14ac:dyDescent="0.2">
      <c r="A917" s="278"/>
      <c r="B917" s="279"/>
    </row>
    <row r="918" spans="1:7" x14ac:dyDescent="0.2">
      <c r="A918" s="278"/>
      <c r="B918" s="279"/>
    </row>
    <row r="919" spans="1:7" x14ac:dyDescent="0.2">
      <c r="A919" s="278"/>
      <c r="B919" s="279"/>
    </row>
    <row r="920" spans="1:7" x14ac:dyDescent="0.2">
      <c r="A920" s="278"/>
      <c r="B920" s="279"/>
    </row>
    <row r="921" spans="1:7" x14ac:dyDescent="0.2">
      <c r="A921" s="278"/>
      <c r="B921" s="279"/>
    </row>
    <row r="922" spans="1:7" x14ac:dyDescent="0.2">
      <c r="A922" s="278"/>
      <c r="B922" s="279"/>
    </row>
    <row r="923" spans="1:7" x14ac:dyDescent="0.2">
      <c r="A923" s="278"/>
      <c r="B923" s="279"/>
      <c r="F923" s="305"/>
      <c r="G923" s="305"/>
    </row>
    <row r="924" spans="1:7" x14ac:dyDescent="0.2">
      <c r="A924" s="278"/>
      <c r="B924" s="279"/>
      <c r="F924" s="305"/>
      <c r="G924" s="305"/>
    </row>
    <row r="925" spans="1:7" x14ac:dyDescent="0.2">
      <c r="A925" s="278"/>
      <c r="B925" s="279"/>
      <c r="F925" s="305"/>
      <c r="G925" s="305"/>
    </row>
    <row r="926" spans="1:7" x14ac:dyDescent="0.2">
      <c r="A926" s="278"/>
      <c r="B926" s="279"/>
      <c r="F926" s="305"/>
      <c r="G926" s="305"/>
    </row>
    <row r="927" spans="1:7" x14ac:dyDescent="0.2">
      <c r="A927" s="278"/>
      <c r="B927" s="279"/>
      <c r="F927" s="305"/>
      <c r="G927" s="305"/>
    </row>
    <row r="928" spans="1:7" x14ac:dyDescent="0.2">
      <c r="A928" s="278"/>
      <c r="B928" s="279"/>
      <c r="F928" s="305"/>
      <c r="G928" s="305"/>
    </row>
    <row r="929" spans="1:2" x14ac:dyDescent="0.2">
      <c r="A929" s="278"/>
      <c r="B929" s="279"/>
    </row>
    <row r="930" spans="1:2" x14ac:dyDescent="0.2">
      <c r="A930" s="278"/>
      <c r="B930" s="279"/>
    </row>
    <row r="931" spans="1:2" x14ac:dyDescent="0.2">
      <c r="A931" s="278"/>
      <c r="B931" s="279"/>
    </row>
    <row r="932" spans="1:2" x14ac:dyDescent="0.2">
      <c r="A932" s="278"/>
      <c r="B932" s="279"/>
    </row>
    <row r="933" spans="1:2" x14ac:dyDescent="0.2">
      <c r="A933" s="278"/>
      <c r="B933" s="279"/>
    </row>
    <row r="934" spans="1:2" x14ac:dyDescent="0.2">
      <c r="A934" s="278"/>
      <c r="B934" s="279"/>
    </row>
    <row r="935" spans="1:2" x14ac:dyDescent="0.2">
      <c r="A935" s="278"/>
      <c r="B935" s="279"/>
    </row>
    <row r="936" spans="1:2" x14ac:dyDescent="0.2">
      <c r="A936" s="278"/>
      <c r="B936" s="279"/>
    </row>
    <row r="937" spans="1:2" x14ac:dyDescent="0.2">
      <c r="A937" s="278"/>
      <c r="B937" s="279"/>
    </row>
    <row r="938" spans="1:2" x14ac:dyDescent="0.2">
      <c r="A938" s="278"/>
      <c r="B938" s="279"/>
    </row>
    <row r="939" spans="1:2" x14ac:dyDescent="0.2">
      <c r="A939" s="278"/>
      <c r="B939" s="279"/>
    </row>
    <row r="940" spans="1:2" x14ac:dyDescent="0.2">
      <c r="A940" s="278"/>
      <c r="B940" s="279"/>
    </row>
    <row r="941" spans="1:2" x14ac:dyDescent="0.2">
      <c r="A941" s="278"/>
      <c r="B941" s="279"/>
    </row>
    <row r="942" spans="1:2" x14ac:dyDescent="0.2">
      <c r="A942" s="278"/>
      <c r="B942" s="279"/>
    </row>
    <row r="943" spans="1:2" x14ac:dyDescent="0.2">
      <c r="A943" s="278"/>
      <c r="B943" s="279"/>
    </row>
    <row r="944" spans="1:2" x14ac:dyDescent="0.2">
      <c r="A944" s="278"/>
      <c r="B944" s="279"/>
    </row>
    <row r="945" spans="1:13" x14ac:dyDescent="0.2">
      <c r="A945" s="278"/>
      <c r="B945" s="279"/>
    </row>
    <row r="946" spans="1:13" x14ac:dyDescent="0.2">
      <c r="A946" s="278"/>
      <c r="B946" s="279"/>
    </row>
    <row r="947" spans="1:13" x14ac:dyDescent="0.2">
      <c r="A947" s="278"/>
      <c r="B947" s="279"/>
    </row>
    <row r="948" spans="1:13" x14ac:dyDescent="0.2">
      <c r="A948" s="278"/>
      <c r="B948" s="279"/>
    </row>
    <row r="949" spans="1:13" x14ac:dyDescent="0.2">
      <c r="A949" s="278"/>
      <c r="B949" s="279"/>
    </row>
    <row r="950" spans="1:13" x14ac:dyDescent="0.2">
      <c r="A950" s="278"/>
      <c r="B950" s="279"/>
    </row>
    <row r="951" spans="1:13" x14ac:dyDescent="0.2">
      <c r="A951" s="278"/>
      <c r="B951" s="279"/>
    </row>
    <row r="952" spans="1:13" x14ac:dyDescent="0.2">
      <c r="A952" s="278"/>
      <c r="B952" s="279"/>
    </row>
    <row r="953" spans="1:13" x14ac:dyDescent="0.2">
      <c r="A953" s="278"/>
      <c r="B953" s="279"/>
    </row>
    <row r="954" spans="1:13" x14ac:dyDescent="0.2">
      <c r="A954" s="278"/>
      <c r="B954" s="279"/>
    </row>
    <row r="955" spans="1:13" x14ac:dyDescent="0.2">
      <c r="A955" s="278"/>
      <c r="B955" s="279"/>
      <c r="H955" s="277"/>
    </row>
    <row r="956" spans="1:13" x14ac:dyDescent="0.2">
      <c r="A956" s="278"/>
      <c r="B956" s="279"/>
      <c r="H956" s="277"/>
      <c r="I956" s="277"/>
      <c r="J956" s="277"/>
      <c r="K956" s="277"/>
      <c r="L956" s="277"/>
      <c r="M956" s="277"/>
    </row>
    <row r="957" spans="1:13" x14ac:dyDescent="0.2">
      <c r="A957" s="278"/>
      <c r="B957" s="279"/>
      <c r="H957" s="277"/>
      <c r="I957" s="277"/>
      <c r="J957" s="277"/>
      <c r="K957" s="277"/>
      <c r="L957" s="277"/>
      <c r="M957" s="277"/>
    </row>
    <row r="958" spans="1:13" x14ac:dyDescent="0.2">
      <c r="A958" s="278"/>
      <c r="B958" s="279"/>
      <c r="H958" s="277"/>
      <c r="I958" s="277"/>
      <c r="J958" s="277"/>
      <c r="K958" s="277"/>
      <c r="L958" s="277"/>
      <c r="M958" s="277"/>
    </row>
    <row r="959" spans="1:13" x14ac:dyDescent="0.2">
      <c r="A959" s="278"/>
      <c r="B959" s="279"/>
      <c r="H959" s="277"/>
      <c r="I959" s="277"/>
      <c r="J959" s="277"/>
      <c r="K959" s="277"/>
      <c r="L959" s="277"/>
      <c r="M959" s="277"/>
    </row>
    <row r="960" spans="1:13" x14ac:dyDescent="0.2">
      <c r="A960" s="278"/>
      <c r="B960" s="279"/>
      <c r="H960" s="277"/>
      <c r="I960" s="277"/>
      <c r="J960" s="277"/>
      <c r="K960" s="277"/>
      <c r="L960" s="277"/>
      <c r="M960" s="277"/>
    </row>
    <row r="961" spans="1:52" x14ac:dyDescent="0.2">
      <c r="A961" s="278"/>
      <c r="B961" s="279"/>
      <c r="I961" s="277"/>
      <c r="J961" s="277"/>
      <c r="K961" s="277"/>
      <c r="L961" s="277"/>
      <c r="M961" s="277"/>
    </row>
    <row r="962" spans="1:52" x14ac:dyDescent="0.2">
      <c r="A962" s="278"/>
      <c r="B962" s="279"/>
    </row>
    <row r="963" spans="1:52" x14ac:dyDescent="0.2">
      <c r="A963" s="278"/>
      <c r="B963" s="279"/>
    </row>
    <row r="964" spans="1:52" x14ac:dyDescent="0.2">
      <c r="A964" s="278"/>
      <c r="B964" s="279"/>
    </row>
    <row r="965" spans="1:52" x14ac:dyDescent="0.2">
      <c r="A965" s="278"/>
      <c r="B965" s="279"/>
      <c r="E965" s="277"/>
    </row>
    <row r="966" spans="1:52" x14ac:dyDescent="0.2">
      <c r="A966" s="278"/>
      <c r="B966" s="279"/>
      <c r="E966" s="277"/>
    </row>
    <row r="967" spans="1:52" x14ac:dyDescent="0.2">
      <c r="A967" s="278"/>
      <c r="B967" s="279"/>
      <c r="E967" s="277"/>
    </row>
    <row r="968" spans="1:52" x14ac:dyDescent="0.2">
      <c r="A968" s="278"/>
      <c r="B968" s="279"/>
      <c r="E968" s="277"/>
      <c r="H968" s="305"/>
    </row>
    <row r="969" spans="1:52" x14ac:dyDescent="0.2">
      <c r="A969" s="278"/>
      <c r="B969" s="279"/>
      <c r="E969" s="277"/>
      <c r="H969" s="305"/>
      <c r="I969" s="305"/>
      <c r="J969" s="305"/>
      <c r="K969" s="305"/>
      <c r="L969" s="305"/>
      <c r="M969" s="305"/>
    </row>
    <row r="970" spans="1:52" x14ac:dyDescent="0.2">
      <c r="A970" s="278"/>
      <c r="B970" s="279"/>
      <c r="E970" s="277"/>
      <c r="H970" s="305"/>
      <c r="I970" s="305"/>
      <c r="J970" s="305"/>
      <c r="K970" s="305"/>
      <c r="L970" s="305"/>
      <c r="M970" s="305"/>
    </row>
    <row r="971" spans="1:52" x14ac:dyDescent="0.2">
      <c r="A971" s="278"/>
      <c r="B971" s="279"/>
      <c r="H971" s="305"/>
      <c r="I971" s="305"/>
      <c r="J971" s="305"/>
      <c r="K971" s="305"/>
      <c r="L971" s="305"/>
      <c r="M971" s="305"/>
    </row>
    <row r="972" spans="1:52" x14ac:dyDescent="0.2">
      <c r="A972" s="278"/>
      <c r="B972" s="279"/>
      <c r="H972" s="305"/>
      <c r="I972" s="305"/>
      <c r="J972" s="305"/>
      <c r="K972" s="305"/>
      <c r="L972" s="305"/>
      <c r="M972" s="305"/>
    </row>
    <row r="973" spans="1:52" x14ac:dyDescent="0.2">
      <c r="A973" s="278"/>
      <c r="B973" s="279"/>
      <c r="H973" s="305"/>
      <c r="I973" s="305"/>
      <c r="J973" s="305"/>
      <c r="K973" s="305"/>
      <c r="L973" s="305"/>
      <c r="M973" s="305"/>
      <c r="T973" s="277"/>
      <c r="U973" s="277"/>
      <c r="V973" s="277"/>
      <c r="W973" s="277"/>
    </row>
    <row r="974" spans="1:52" x14ac:dyDescent="0.2">
      <c r="A974" s="278"/>
      <c r="B974" s="279"/>
      <c r="I974" s="305"/>
      <c r="J974" s="305"/>
      <c r="K974" s="305"/>
      <c r="L974" s="305"/>
      <c r="M974" s="305"/>
      <c r="T974" s="277"/>
      <c r="U974" s="277"/>
      <c r="V974" s="277"/>
      <c r="W974" s="277"/>
    </row>
    <row r="975" spans="1:52" x14ac:dyDescent="0.2">
      <c r="A975" s="278"/>
      <c r="B975" s="279"/>
      <c r="T975" s="277"/>
      <c r="U975" s="277"/>
      <c r="V975" s="277"/>
      <c r="W975" s="277"/>
    </row>
    <row r="976" spans="1:52" x14ac:dyDescent="0.2">
      <c r="A976" s="278"/>
      <c r="B976" s="279"/>
      <c r="T976" s="277"/>
      <c r="U976" s="277"/>
      <c r="V976" s="277"/>
      <c r="W976" s="277"/>
      <c r="AZ976" s="277"/>
    </row>
    <row r="977" spans="1:86" x14ac:dyDescent="0.2">
      <c r="A977" s="278"/>
      <c r="B977" s="279"/>
      <c r="O977" s="277"/>
      <c r="P977" s="277"/>
      <c r="Q977" s="277"/>
      <c r="R977" s="277"/>
      <c r="S977" s="277"/>
      <c r="T977" s="277"/>
      <c r="U977" s="277"/>
      <c r="V977" s="277"/>
      <c r="W977" s="277"/>
      <c r="AZ977" s="277"/>
    </row>
    <row r="978" spans="1:86" x14ac:dyDescent="0.2">
      <c r="A978" s="278"/>
      <c r="B978" s="279"/>
      <c r="E978" s="305"/>
      <c r="O978" s="277"/>
      <c r="P978" s="277"/>
      <c r="Q978" s="277"/>
      <c r="R978" s="277"/>
      <c r="S978" s="277"/>
      <c r="T978" s="277"/>
      <c r="U978" s="277"/>
      <c r="V978" s="277"/>
      <c r="W978" s="277"/>
      <c r="AZ978" s="277"/>
    </row>
    <row r="979" spans="1:86" x14ac:dyDescent="0.2">
      <c r="A979" s="278"/>
      <c r="B979" s="279"/>
      <c r="E979" s="305"/>
      <c r="O979" s="277"/>
      <c r="P979" s="277"/>
      <c r="Q979" s="277"/>
      <c r="R979" s="277"/>
      <c r="S979" s="277"/>
      <c r="AZ979" s="277"/>
    </row>
    <row r="980" spans="1:86" x14ac:dyDescent="0.2">
      <c r="A980" s="278"/>
      <c r="B980" s="279"/>
      <c r="E980" s="305"/>
      <c r="O980" s="277"/>
      <c r="P980" s="277"/>
      <c r="Q980" s="277"/>
      <c r="R980" s="277"/>
      <c r="S980" s="277"/>
      <c r="AZ980" s="277"/>
    </row>
    <row r="981" spans="1:86" x14ac:dyDescent="0.2">
      <c r="A981" s="278"/>
      <c r="B981" s="279"/>
      <c r="D981" s="277"/>
      <c r="E981" s="305"/>
      <c r="O981" s="277"/>
      <c r="P981" s="277"/>
      <c r="Q981" s="277"/>
      <c r="R981" s="277"/>
      <c r="S981" s="277"/>
      <c r="AZ981" s="277"/>
    </row>
    <row r="982" spans="1:86" x14ac:dyDescent="0.2">
      <c r="A982" s="278"/>
      <c r="B982" s="279"/>
      <c r="C982" s="277"/>
      <c r="D982" s="277"/>
      <c r="E982" s="305"/>
      <c r="O982" s="277"/>
      <c r="P982" s="277"/>
      <c r="Q982" s="277"/>
      <c r="R982" s="277"/>
      <c r="S982" s="277"/>
      <c r="AO982" s="277"/>
      <c r="AP982" s="277"/>
      <c r="AQ982" s="277"/>
      <c r="AR982" s="277"/>
      <c r="AS982" s="277"/>
      <c r="AT982" s="277"/>
      <c r="AU982" s="277"/>
      <c r="AV982" s="277"/>
      <c r="AW982" s="277"/>
      <c r="AX982" s="277"/>
      <c r="AY982" s="277"/>
      <c r="BA982" s="277"/>
    </row>
    <row r="983" spans="1:86" x14ac:dyDescent="0.2">
      <c r="A983" s="278"/>
      <c r="B983" s="279"/>
      <c r="C983" s="277"/>
      <c r="D983" s="277"/>
      <c r="E983" s="305"/>
      <c r="AM983" s="277"/>
      <c r="AN983" s="277"/>
      <c r="AO983" s="277"/>
      <c r="AP983" s="277"/>
      <c r="AQ983" s="277"/>
      <c r="AR983" s="277"/>
      <c r="AS983" s="277"/>
      <c r="AT983" s="277"/>
      <c r="AU983" s="277"/>
      <c r="AV983" s="277"/>
      <c r="AW983" s="277"/>
      <c r="AX983" s="277"/>
      <c r="AY983" s="277"/>
      <c r="BA983" s="277"/>
    </row>
    <row r="984" spans="1:86" x14ac:dyDescent="0.2">
      <c r="A984" s="278"/>
      <c r="B984" s="279"/>
      <c r="C984" s="277"/>
      <c r="D984" s="277"/>
      <c r="AM984" s="277"/>
      <c r="AN984" s="277"/>
      <c r="AO984" s="277"/>
      <c r="AP984" s="277"/>
      <c r="AQ984" s="277"/>
      <c r="AR984" s="277"/>
      <c r="AS984" s="277"/>
      <c r="AT984" s="277"/>
      <c r="AU984" s="277"/>
      <c r="AV984" s="277"/>
      <c r="AW984" s="277"/>
      <c r="AX984" s="277"/>
      <c r="AY984" s="277"/>
      <c r="BA984" s="277"/>
    </row>
    <row r="985" spans="1:86" x14ac:dyDescent="0.2">
      <c r="A985" s="278"/>
      <c r="B985" s="279"/>
      <c r="C985" s="277"/>
      <c r="D985" s="277"/>
      <c r="AM985" s="277"/>
      <c r="AN985" s="277"/>
      <c r="AO985" s="277"/>
      <c r="AP985" s="277"/>
      <c r="AQ985" s="277"/>
      <c r="AR985" s="277"/>
      <c r="AS985" s="277"/>
      <c r="AT985" s="277"/>
      <c r="AU985" s="277"/>
      <c r="AV985" s="277"/>
      <c r="AW985" s="277"/>
      <c r="AX985" s="277"/>
      <c r="AY985" s="277"/>
      <c r="BA985" s="277"/>
      <c r="BL985" s="295"/>
    </row>
    <row r="986" spans="1:86" x14ac:dyDescent="0.2">
      <c r="A986" s="278"/>
      <c r="B986" s="279"/>
      <c r="C986" s="277"/>
      <c r="D986" s="277"/>
      <c r="T986" s="305"/>
      <c r="U986" s="305"/>
      <c r="V986" s="305"/>
      <c r="W986" s="305"/>
      <c r="AM986" s="277"/>
      <c r="AN986" s="277"/>
      <c r="AO986" s="277"/>
      <c r="AP986" s="277"/>
      <c r="AQ986" s="277"/>
      <c r="AR986" s="277"/>
      <c r="AS986" s="277"/>
      <c r="AT986" s="277"/>
      <c r="AU986" s="277"/>
      <c r="AV986" s="277"/>
      <c r="AW986" s="277"/>
      <c r="AX986" s="277"/>
      <c r="AY986" s="277"/>
      <c r="BA986" s="277"/>
      <c r="BL986" s="295"/>
    </row>
    <row r="987" spans="1:86" x14ac:dyDescent="0.2">
      <c r="A987" s="278"/>
      <c r="B987" s="279"/>
      <c r="C987" s="277"/>
      <c r="T987" s="305"/>
      <c r="U987" s="305"/>
      <c r="V987" s="305"/>
      <c r="W987" s="305"/>
      <c r="AM987" s="277"/>
      <c r="AN987" s="277"/>
      <c r="AO987" s="277"/>
      <c r="AP987" s="277"/>
      <c r="AQ987" s="277"/>
      <c r="AR987" s="277"/>
      <c r="AS987" s="277"/>
      <c r="AT987" s="277"/>
      <c r="AU987" s="277"/>
      <c r="AV987" s="277"/>
      <c r="AW987" s="277"/>
      <c r="AX987" s="277"/>
      <c r="AY987" s="277"/>
      <c r="BA987" s="277"/>
      <c r="BL987" s="295"/>
    </row>
    <row r="988" spans="1:86" x14ac:dyDescent="0.2">
      <c r="A988" s="278"/>
      <c r="B988" s="279"/>
      <c r="T988" s="305"/>
      <c r="U988" s="305"/>
      <c r="V988" s="305"/>
      <c r="W988" s="305"/>
      <c r="AM988" s="277"/>
      <c r="AN988" s="277"/>
      <c r="BL988" s="295"/>
    </row>
    <row r="989" spans="1:86" x14ac:dyDescent="0.2">
      <c r="A989" s="278"/>
      <c r="B989" s="279"/>
      <c r="T989" s="305"/>
      <c r="U989" s="305"/>
      <c r="V989" s="305"/>
      <c r="W989" s="305"/>
      <c r="X989" s="277"/>
      <c r="Y989" s="277"/>
      <c r="Z989" s="277"/>
      <c r="AA989" s="277"/>
      <c r="AB989" s="277"/>
      <c r="AJ989" s="277"/>
      <c r="AK989" s="277"/>
      <c r="AL989" s="277"/>
      <c r="AZ989" s="305"/>
      <c r="BL989" s="295"/>
    </row>
    <row r="990" spans="1:86" x14ac:dyDescent="0.2">
      <c r="A990" s="278"/>
      <c r="B990" s="279"/>
      <c r="O990" s="305"/>
      <c r="P990" s="305"/>
      <c r="Q990" s="305"/>
      <c r="R990" s="305"/>
      <c r="S990" s="305"/>
      <c r="T990" s="305"/>
      <c r="U990" s="305"/>
      <c r="V990" s="305"/>
      <c r="W990" s="305"/>
      <c r="X990" s="277"/>
      <c r="Y990" s="277"/>
      <c r="Z990" s="277"/>
      <c r="AA990" s="277"/>
      <c r="AB990" s="277"/>
      <c r="AJ990" s="277"/>
      <c r="AK990" s="277"/>
      <c r="AL990" s="277"/>
      <c r="AZ990" s="305"/>
      <c r="BL990" s="295"/>
    </row>
    <row r="991" spans="1:86" x14ac:dyDescent="0.2">
      <c r="A991" s="278"/>
      <c r="B991" s="279"/>
      <c r="O991" s="305"/>
      <c r="P991" s="305"/>
      <c r="Q991" s="305"/>
      <c r="R991" s="305"/>
      <c r="S991" s="305"/>
      <c r="T991" s="305"/>
      <c r="U991" s="305"/>
      <c r="V991" s="305"/>
      <c r="W991" s="305"/>
      <c r="X991" s="277"/>
      <c r="Y991" s="277"/>
      <c r="Z991" s="277"/>
      <c r="AA991" s="277"/>
      <c r="AB991" s="277"/>
      <c r="AC991" s="277"/>
      <c r="AD991" s="277"/>
      <c r="AE991" s="277"/>
      <c r="AF991" s="277"/>
      <c r="AG991" s="277"/>
      <c r="AH991" s="277"/>
      <c r="AI991" s="277"/>
      <c r="AJ991" s="277"/>
      <c r="AK991" s="277"/>
      <c r="AL991" s="277"/>
      <c r="AZ991" s="305"/>
    </row>
    <row r="992" spans="1:86" s="277" customFormat="1" x14ac:dyDescent="0.2">
      <c r="A992" s="278"/>
      <c r="B992" s="279"/>
      <c r="C992" s="276"/>
      <c r="D992" s="276"/>
      <c r="E992" s="276"/>
      <c r="F992" s="276"/>
      <c r="G992" s="276"/>
      <c r="H992" s="276"/>
      <c r="I992" s="276"/>
      <c r="J992" s="276"/>
      <c r="K992" s="276"/>
      <c r="L992" s="276"/>
      <c r="M992" s="276"/>
      <c r="N992" s="276"/>
      <c r="O992" s="305"/>
      <c r="P992" s="305"/>
      <c r="Q992" s="305"/>
      <c r="R992" s="305"/>
      <c r="S992" s="305"/>
      <c r="T992" s="276"/>
      <c r="U992" s="276"/>
      <c r="V992" s="276"/>
      <c r="W992" s="276"/>
      <c r="AM992" s="276"/>
      <c r="AN992" s="276"/>
      <c r="AO992" s="276"/>
      <c r="AP992" s="276"/>
      <c r="AQ992" s="276"/>
      <c r="AR992" s="276"/>
      <c r="AS992" s="276"/>
      <c r="AT992" s="276"/>
      <c r="AU992" s="276"/>
      <c r="AV992" s="276"/>
      <c r="AW992" s="276"/>
      <c r="AX992" s="276"/>
      <c r="AY992" s="276"/>
      <c r="AZ992" s="305"/>
      <c r="BA992" s="276"/>
      <c r="BB992" s="276"/>
      <c r="BC992" s="276"/>
      <c r="BD992" s="276"/>
      <c r="BE992" s="276"/>
      <c r="BF992" s="276"/>
      <c r="BG992" s="276"/>
      <c r="BH992" s="276"/>
      <c r="BI992" s="276"/>
      <c r="BJ992" s="276"/>
      <c r="BK992" s="281"/>
      <c r="BL992" s="281"/>
      <c r="BM992" s="282"/>
      <c r="BN992" s="276"/>
      <c r="BO992" s="276"/>
      <c r="BP992" s="276"/>
      <c r="BQ992" s="276"/>
      <c r="BR992" s="276"/>
      <c r="BS992" s="276"/>
      <c r="BT992" s="276"/>
      <c r="BU992" s="276"/>
      <c r="BV992" s="281"/>
      <c r="BW992" s="281"/>
      <c r="BX992" s="276"/>
      <c r="BY992" s="276"/>
      <c r="BZ992" s="276"/>
      <c r="CA992" s="276"/>
      <c r="CB992" s="276"/>
      <c r="CC992" s="276"/>
      <c r="CD992" s="281"/>
      <c r="CE992" s="281"/>
      <c r="CF992" s="281"/>
      <c r="CG992" s="281"/>
      <c r="CH992" s="281"/>
    </row>
    <row r="993" spans="1:86" s="277" customFormat="1" x14ac:dyDescent="0.2">
      <c r="A993" s="278"/>
      <c r="B993" s="279"/>
      <c r="C993" s="276"/>
      <c r="D993" s="276"/>
      <c r="E993" s="276"/>
      <c r="F993" s="276"/>
      <c r="G993" s="276"/>
      <c r="H993" s="276"/>
      <c r="I993" s="276"/>
      <c r="J993" s="276"/>
      <c r="K993" s="276"/>
      <c r="L993" s="276"/>
      <c r="M993" s="276"/>
      <c r="N993" s="276"/>
      <c r="O993" s="305"/>
      <c r="P993" s="305"/>
      <c r="Q993" s="305"/>
      <c r="R993" s="305"/>
      <c r="S993" s="305"/>
      <c r="T993" s="276"/>
      <c r="U993" s="276"/>
      <c r="V993" s="276"/>
      <c r="W993" s="276"/>
      <c r="AM993" s="276"/>
      <c r="AN993" s="276"/>
      <c r="AO993" s="276"/>
      <c r="AP993" s="276"/>
      <c r="AQ993" s="276"/>
      <c r="AR993" s="276"/>
      <c r="AS993" s="276"/>
      <c r="AT993" s="276"/>
      <c r="AU993" s="276"/>
      <c r="AV993" s="276"/>
      <c r="AW993" s="276"/>
      <c r="AX993" s="276"/>
      <c r="AY993" s="276"/>
      <c r="AZ993" s="305"/>
      <c r="BA993" s="276"/>
      <c r="BB993" s="276"/>
      <c r="BC993" s="276"/>
      <c r="BD993" s="276"/>
      <c r="BE993" s="276"/>
      <c r="BF993" s="276"/>
      <c r="BG993" s="276"/>
      <c r="BH993" s="276"/>
      <c r="BI993" s="276"/>
      <c r="BJ993" s="276"/>
      <c r="BK993" s="281"/>
      <c r="BL993" s="281"/>
      <c r="BM993" s="282"/>
      <c r="BN993" s="276"/>
      <c r="BO993" s="276"/>
      <c r="BP993" s="276"/>
      <c r="BQ993" s="276"/>
      <c r="BR993" s="276"/>
      <c r="BS993" s="276"/>
      <c r="BT993" s="276"/>
      <c r="BU993" s="276"/>
      <c r="BV993" s="281"/>
      <c r="BW993" s="281"/>
      <c r="BX993" s="276"/>
      <c r="BY993" s="276"/>
      <c r="BZ993" s="276"/>
      <c r="CA993" s="276"/>
      <c r="CB993" s="276"/>
      <c r="CC993" s="276"/>
      <c r="CD993" s="281"/>
      <c r="CE993" s="281"/>
      <c r="CF993" s="281"/>
      <c r="CG993" s="281"/>
      <c r="CH993" s="281"/>
    </row>
    <row r="994" spans="1:86" s="277" customFormat="1" x14ac:dyDescent="0.2">
      <c r="A994" s="278"/>
      <c r="B994" s="279"/>
      <c r="C994" s="276"/>
      <c r="D994" s="305"/>
      <c r="E994" s="276"/>
      <c r="F994" s="276"/>
      <c r="G994" s="276"/>
      <c r="H994" s="276"/>
      <c r="I994" s="276"/>
      <c r="J994" s="276"/>
      <c r="K994" s="276"/>
      <c r="L994" s="276"/>
      <c r="M994" s="276"/>
      <c r="N994" s="276"/>
      <c r="O994" s="305"/>
      <c r="P994" s="305"/>
      <c r="Q994" s="305"/>
      <c r="R994" s="305"/>
      <c r="S994" s="305"/>
      <c r="T994" s="276"/>
      <c r="U994" s="276"/>
      <c r="V994" s="276"/>
      <c r="W994" s="276"/>
      <c r="AM994" s="276"/>
      <c r="AN994" s="276"/>
      <c r="AO994" s="276"/>
      <c r="AP994" s="276"/>
      <c r="AQ994" s="276"/>
      <c r="AR994" s="276"/>
      <c r="AS994" s="276"/>
      <c r="AT994" s="276"/>
      <c r="AU994" s="276"/>
      <c r="AV994" s="276"/>
      <c r="AW994" s="276"/>
      <c r="AX994" s="276"/>
      <c r="AY994" s="276"/>
      <c r="AZ994" s="305"/>
      <c r="BA994" s="276"/>
      <c r="BB994" s="276"/>
      <c r="BC994" s="276"/>
      <c r="BD994" s="276"/>
      <c r="BE994" s="276"/>
      <c r="BF994" s="276"/>
      <c r="BG994" s="276"/>
      <c r="BH994" s="276"/>
      <c r="BI994" s="276"/>
      <c r="BJ994" s="276"/>
      <c r="BK994" s="281"/>
      <c r="BL994" s="281"/>
      <c r="BM994" s="282"/>
      <c r="BN994" s="276"/>
      <c r="BO994" s="276"/>
      <c r="BP994" s="276"/>
      <c r="BQ994" s="276"/>
      <c r="BR994" s="276"/>
      <c r="BS994" s="276"/>
      <c r="BT994" s="276"/>
      <c r="BU994" s="276"/>
      <c r="BV994" s="281"/>
      <c r="BW994" s="281"/>
      <c r="BX994" s="276"/>
      <c r="BY994" s="276"/>
      <c r="BZ994" s="276"/>
      <c r="CA994" s="276"/>
      <c r="CB994" s="276"/>
      <c r="CC994" s="276"/>
      <c r="CD994" s="281"/>
      <c r="CE994" s="281"/>
      <c r="CF994" s="281"/>
      <c r="CG994" s="281"/>
      <c r="CH994" s="281"/>
    </row>
    <row r="995" spans="1:86" s="277" customFormat="1" x14ac:dyDescent="0.2">
      <c r="A995" s="278"/>
      <c r="B995" s="279"/>
      <c r="C995" s="305"/>
      <c r="D995" s="305"/>
      <c r="E995" s="276"/>
      <c r="F995" s="276"/>
      <c r="G995" s="276"/>
      <c r="H995" s="276"/>
      <c r="I995" s="276"/>
      <c r="J995" s="276"/>
      <c r="K995" s="276"/>
      <c r="L995" s="276"/>
      <c r="M995" s="276"/>
      <c r="N995" s="276"/>
      <c r="O995" s="305"/>
      <c r="P995" s="305"/>
      <c r="Q995" s="305"/>
      <c r="R995" s="305"/>
      <c r="S995" s="305"/>
      <c r="T995" s="276"/>
      <c r="U995" s="276"/>
      <c r="V995" s="276"/>
      <c r="W995" s="276"/>
      <c r="X995" s="276"/>
      <c r="Y995" s="276"/>
      <c r="Z995" s="276"/>
      <c r="AA995" s="276"/>
      <c r="AB995" s="276"/>
      <c r="AJ995" s="276"/>
      <c r="AK995" s="276"/>
      <c r="AL995" s="276"/>
      <c r="AM995" s="276"/>
      <c r="AN995" s="276"/>
      <c r="AO995" s="305"/>
      <c r="AP995" s="305"/>
      <c r="AQ995" s="305"/>
      <c r="AR995" s="305"/>
      <c r="AS995" s="305"/>
      <c r="AT995" s="305"/>
      <c r="AU995" s="305"/>
      <c r="AV995" s="305"/>
      <c r="AW995" s="305"/>
      <c r="AX995" s="305"/>
      <c r="AY995" s="305"/>
      <c r="AZ995" s="276"/>
      <c r="BA995" s="305"/>
      <c r="BB995" s="276"/>
      <c r="BC995" s="276"/>
      <c r="BD995" s="276"/>
      <c r="BE995" s="276"/>
      <c r="BF995" s="276"/>
      <c r="BG995" s="276"/>
      <c r="BH995" s="276"/>
      <c r="BI995" s="276"/>
      <c r="BJ995" s="276"/>
      <c r="BK995" s="281"/>
      <c r="BL995" s="281"/>
      <c r="BM995" s="282"/>
      <c r="BN995" s="276"/>
      <c r="BO995" s="276"/>
      <c r="BP995" s="276"/>
      <c r="BQ995" s="276"/>
      <c r="BR995" s="276"/>
      <c r="BS995" s="276"/>
      <c r="BT995" s="276"/>
      <c r="BU995" s="276"/>
      <c r="BV995" s="281"/>
      <c r="BW995" s="281"/>
      <c r="BX995" s="276"/>
      <c r="BY995" s="276"/>
      <c r="BZ995" s="276"/>
      <c r="CA995" s="276"/>
      <c r="CB995" s="276"/>
      <c r="CC995" s="276"/>
      <c r="CD995" s="281"/>
      <c r="CE995" s="281"/>
      <c r="CF995" s="281"/>
      <c r="CG995" s="281"/>
      <c r="CH995" s="281"/>
    </row>
    <row r="996" spans="1:86" s="277" customFormat="1" x14ac:dyDescent="0.2">
      <c r="A996" s="278"/>
      <c r="B996" s="279"/>
      <c r="C996" s="305"/>
      <c r="D996" s="305"/>
      <c r="E996" s="276"/>
      <c r="F996" s="276"/>
      <c r="G996" s="276"/>
      <c r="H996" s="276"/>
      <c r="I996" s="276"/>
      <c r="J996" s="276"/>
      <c r="K996" s="276"/>
      <c r="L996" s="276"/>
      <c r="M996" s="276"/>
      <c r="N996" s="276"/>
      <c r="O996" s="276"/>
      <c r="P996" s="276"/>
      <c r="Q996" s="276"/>
      <c r="R996" s="276"/>
      <c r="S996" s="276"/>
      <c r="T996" s="276"/>
      <c r="U996" s="276"/>
      <c r="V996" s="276"/>
      <c r="W996" s="276"/>
      <c r="X996" s="276"/>
      <c r="Y996" s="276"/>
      <c r="Z996" s="276"/>
      <c r="AA996" s="276"/>
      <c r="AB996" s="276"/>
      <c r="AJ996" s="276"/>
      <c r="AK996" s="276"/>
      <c r="AL996" s="276"/>
      <c r="AM996" s="305"/>
      <c r="AN996" s="305"/>
      <c r="AO996" s="305"/>
      <c r="AP996" s="305"/>
      <c r="AQ996" s="305"/>
      <c r="AR996" s="305"/>
      <c r="AS996" s="305"/>
      <c r="AT996" s="305"/>
      <c r="AU996" s="305"/>
      <c r="AV996" s="305"/>
      <c r="AW996" s="305"/>
      <c r="AX996" s="305"/>
      <c r="AY996" s="305"/>
      <c r="AZ996" s="276"/>
      <c r="BA996" s="305"/>
      <c r="BB996" s="276"/>
      <c r="BC996" s="276"/>
      <c r="BD996" s="276"/>
      <c r="BE996" s="276"/>
      <c r="BF996" s="276"/>
      <c r="BG996" s="276"/>
      <c r="BH996" s="276"/>
      <c r="BI996" s="276"/>
      <c r="BJ996" s="276"/>
      <c r="BK996" s="281"/>
      <c r="BL996" s="281"/>
      <c r="BM996" s="282"/>
      <c r="BN996" s="276"/>
      <c r="BO996" s="276"/>
      <c r="BP996" s="276"/>
      <c r="BQ996" s="276"/>
      <c r="BR996" s="276"/>
      <c r="BS996" s="276"/>
      <c r="BT996" s="276"/>
      <c r="BU996" s="276"/>
      <c r="BV996" s="281"/>
      <c r="BW996" s="281"/>
      <c r="BX996" s="276"/>
      <c r="BY996" s="276"/>
      <c r="BZ996" s="276"/>
      <c r="CA996" s="276"/>
      <c r="CB996" s="276"/>
      <c r="CC996" s="276"/>
      <c r="CD996" s="281"/>
      <c r="CE996" s="281"/>
      <c r="CF996" s="281"/>
      <c r="CG996" s="281"/>
      <c r="CH996" s="281"/>
    </row>
    <row r="997" spans="1:86" s="277" customFormat="1" x14ac:dyDescent="0.2">
      <c r="A997" s="278"/>
      <c r="B997" s="279"/>
      <c r="C997" s="305"/>
      <c r="D997" s="305"/>
      <c r="E997" s="276"/>
      <c r="F997" s="276"/>
      <c r="G997" s="276"/>
      <c r="H997" s="276"/>
      <c r="I997" s="276"/>
      <c r="J997" s="276"/>
      <c r="K997" s="276"/>
      <c r="L997" s="276"/>
      <c r="M997" s="276"/>
      <c r="N997" s="276"/>
      <c r="O997" s="276"/>
      <c r="P997" s="276"/>
      <c r="Q997" s="276"/>
      <c r="R997" s="276"/>
      <c r="S997" s="276"/>
      <c r="T997" s="276"/>
      <c r="U997" s="276"/>
      <c r="V997" s="276"/>
      <c r="W997" s="276"/>
      <c r="X997" s="276"/>
      <c r="Y997" s="276"/>
      <c r="Z997" s="276"/>
      <c r="AA997" s="276"/>
      <c r="AB997" s="276"/>
      <c r="AC997" s="276"/>
      <c r="AD997" s="276"/>
      <c r="AE997" s="276"/>
      <c r="AF997" s="276"/>
      <c r="AG997" s="276"/>
      <c r="AH997" s="276"/>
      <c r="AI997" s="276"/>
      <c r="AJ997" s="276"/>
      <c r="AK997" s="276"/>
      <c r="AL997" s="276"/>
      <c r="AM997" s="305"/>
      <c r="AN997" s="305"/>
      <c r="AO997" s="305"/>
      <c r="AP997" s="305"/>
      <c r="AQ997" s="305"/>
      <c r="AR997" s="305"/>
      <c r="AS997" s="305"/>
      <c r="AT997" s="305"/>
      <c r="AU997" s="305"/>
      <c r="AV997" s="305"/>
      <c r="AW997" s="305"/>
      <c r="AX997" s="305"/>
      <c r="AY997" s="305"/>
      <c r="AZ997" s="276"/>
      <c r="BA997" s="305"/>
      <c r="BB997" s="276"/>
      <c r="BC997" s="276"/>
      <c r="BD997" s="276"/>
      <c r="BE997" s="276"/>
      <c r="BF997" s="276"/>
      <c r="BG997" s="276"/>
      <c r="BH997" s="276"/>
      <c r="BI997" s="276"/>
      <c r="BJ997" s="276"/>
      <c r="BK997" s="281"/>
      <c r="BL997" s="281"/>
      <c r="BM997" s="282"/>
      <c r="BN997" s="276"/>
      <c r="BO997" s="276"/>
      <c r="BP997" s="276"/>
      <c r="BQ997" s="276"/>
      <c r="BR997" s="276"/>
      <c r="BS997" s="276"/>
      <c r="BT997" s="276"/>
      <c r="BU997" s="276"/>
      <c r="BV997" s="281"/>
      <c r="BW997" s="281"/>
      <c r="BX997" s="276"/>
      <c r="BY997" s="276"/>
      <c r="BZ997" s="276"/>
      <c r="CA997" s="276"/>
      <c r="CB997" s="276"/>
      <c r="CC997" s="276"/>
      <c r="CD997" s="281"/>
      <c r="CE997" s="281"/>
      <c r="CF997" s="281"/>
      <c r="CG997" s="281"/>
      <c r="CH997" s="281"/>
    </row>
    <row r="998" spans="1:86" x14ac:dyDescent="0.2">
      <c r="A998" s="278"/>
      <c r="B998" s="279"/>
      <c r="C998" s="305"/>
      <c r="D998" s="305"/>
      <c r="N998" s="277"/>
      <c r="AM998" s="305"/>
      <c r="AN998" s="305"/>
      <c r="AO998" s="305"/>
      <c r="AP998" s="305"/>
      <c r="AQ998" s="305"/>
      <c r="AR998" s="305"/>
      <c r="AS998" s="305"/>
      <c r="AT998" s="305"/>
      <c r="AU998" s="305"/>
      <c r="AV998" s="305"/>
      <c r="AW998" s="305"/>
      <c r="AX998" s="305"/>
      <c r="AY998" s="305"/>
      <c r="BA998" s="305"/>
      <c r="BL998" s="319"/>
    </row>
    <row r="999" spans="1:86" x14ac:dyDescent="0.2">
      <c r="A999" s="278"/>
      <c r="B999" s="279"/>
      <c r="C999" s="305"/>
      <c r="D999" s="305"/>
      <c r="N999" s="277"/>
      <c r="AM999" s="305"/>
      <c r="AN999" s="305"/>
      <c r="AO999" s="305"/>
      <c r="AP999" s="305"/>
      <c r="AQ999" s="305"/>
      <c r="AR999" s="305"/>
      <c r="AS999" s="305"/>
      <c r="AT999" s="305"/>
      <c r="AU999" s="305"/>
      <c r="AV999" s="305"/>
      <c r="AW999" s="305"/>
      <c r="AX999" s="305"/>
      <c r="AY999" s="305"/>
      <c r="BA999" s="305"/>
      <c r="BL999" s="319"/>
    </row>
    <row r="1000" spans="1:86" x14ac:dyDescent="0.2">
      <c r="A1000" s="278"/>
      <c r="B1000" s="279"/>
      <c r="C1000" s="305"/>
      <c r="N1000" s="277"/>
      <c r="AM1000" s="305"/>
      <c r="AN1000" s="305"/>
      <c r="AO1000" s="305"/>
      <c r="AP1000" s="305"/>
      <c r="AQ1000" s="305"/>
      <c r="AR1000" s="305"/>
      <c r="AS1000" s="305"/>
      <c r="AT1000" s="305"/>
      <c r="AU1000" s="305"/>
      <c r="AV1000" s="305"/>
      <c r="AW1000" s="305"/>
      <c r="AX1000" s="305"/>
      <c r="AY1000" s="305"/>
      <c r="BA1000" s="305"/>
      <c r="BL1000" s="319"/>
    </row>
    <row r="1001" spans="1:86" x14ac:dyDescent="0.2">
      <c r="A1001" s="278"/>
      <c r="B1001" s="279"/>
      <c r="N1001" s="277"/>
      <c r="AM1001" s="305"/>
      <c r="AN1001" s="305"/>
      <c r="BL1001" s="319"/>
    </row>
    <row r="1002" spans="1:86" x14ac:dyDescent="0.2">
      <c r="A1002" s="278"/>
      <c r="B1002" s="279"/>
      <c r="N1002" s="277"/>
      <c r="X1002" s="305"/>
      <c r="Y1002" s="305"/>
      <c r="Z1002" s="305"/>
      <c r="AA1002" s="305"/>
      <c r="AB1002" s="305"/>
      <c r="AJ1002" s="305"/>
      <c r="AK1002" s="305"/>
      <c r="AL1002" s="305"/>
      <c r="BL1002" s="319"/>
    </row>
    <row r="1003" spans="1:86" x14ac:dyDescent="0.2">
      <c r="A1003" s="278"/>
      <c r="B1003" s="279"/>
      <c r="N1003" s="277"/>
      <c r="X1003" s="305"/>
      <c r="Y1003" s="305"/>
      <c r="Z1003" s="305"/>
      <c r="AA1003" s="305"/>
      <c r="AB1003" s="305"/>
      <c r="AJ1003" s="305"/>
      <c r="AK1003" s="305"/>
      <c r="AL1003" s="305"/>
      <c r="BL1003" s="319"/>
    </row>
    <row r="1004" spans="1:86" x14ac:dyDescent="0.2">
      <c r="A1004" s="278"/>
      <c r="B1004" s="279"/>
      <c r="X1004" s="305"/>
      <c r="Y1004" s="305"/>
      <c r="Z1004" s="305"/>
      <c r="AA1004" s="305"/>
      <c r="AB1004" s="305"/>
      <c r="AC1004" s="305"/>
      <c r="AD1004" s="305"/>
      <c r="AE1004" s="305"/>
      <c r="AF1004" s="305"/>
      <c r="AG1004" s="305"/>
      <c r="AH1004" s="305"/>
      <c r="AI1004" s="305"/>
      <c r="AJ1004" s="305"/>
      <c r="AK1004" s="305"/>
      <c r="AL1004" s="305"/>
    </row>
    <row r="1005" spans="1:86" x14ac:dyDescent="0.2">
      <c r="A1005" s="278"/>
      <c r="B1005" s="279"/>
      <c r="X1005" s="305"/>
      <c r="Y1005" s="305"/>
      <c r="Z1005" s="305"/>
      <c r="AA1005" s="305"/>
      <c r="AB1005" s="305"/>
      <c r="AC1005" s="305"/>
      <c r="AD1005" s="305"/>
      <c r="AE1005" s="305"/>
      <c r="AF1005" s="305"/>
      <c r="AG1005" s="305"/>
      <c r="AH1005" s="305"/>
      <c r="AI1005" s="305"/>
      <c r="AJ1005" s="305"/>
      <c r="AK1005" s="305"/>
      <c r="AL1005" s="305"/>
    </row>
    <row r="1006" spans="1:86" x14ac:dyDescent="0.2">
      <c r="A1006" s="278"/>
      <c r="B1006" s="279"/>
      <c r="X1006" s="305"/>
      <c r="Y1006" s="305"/>
      <c r="Z1006" s="305"/>
      <c r="AA1006" s="305"/>
      <c r="AB1006" s="305"/>
      <c r="AC1006" s="305"/>
      <c r="AD1006" s="305"/>
      <c r="AE1006" s="305"/>
      <c r="AF1006" s="305"/>
      <c r="AG1006" s="305"/>
      <c r="AH1006" s="305"/>
      <c r="AI1006" s="305"/>
      <c r="AJ1006" s="305"/>
      <c r="AK1006" s="305"/>
      <c r="AL1006" s="305"/>
    </row>
    <row r="1007" spans="1:86" x14ac:dyDescent="0.2">
      <c r="A1007" s="278"/>
      <c r="B1007" s="279"/>
      <c r="X1007" s="305"/>
      <c r="Y1007" s="305"/>
      <c r="Z1007" s="305"/>
      <c r="AA1007" s="305"/>
      <c r="AB1007" s="305"/>
      <c r="AC1007" s="305"/>
      <c r="AD1007" s="305"/>
      <c r="AE1007" s="305"/>
      <c r="AF1007" s="305"/>
      <c r="AG1007" s="305"/>
      <c r="AH1007" s="305"/>
      <c r="AI1007" s="305"/>
      <c r="AJ1007" s="305"/>
      <c r="AK1007" s="305"/>
      <c r="AL1007" s="305"/>
    </row>
    <row r="1008" spans="1:86" x14ac:dyDescent="0.2">
      <c r="A1008" s="278"/>
      <c r="B1008" s="279"/>
      <c r="AC1008" s="305"/>
      <c r="AD1008" s="305"/>
      <c r="AE1008" s="305"/>
      <c r="AF1008" s="305"/>
      <c r="AG1008" s="305"/>
      <c r="AH1008" s="305"/>
      <c r="AI1008" s="305"/>
    </row>
    <row r="1009" spans="1:63" x14ac:dyDescent="0.2">
      <c r="A1009" s="278"/>
      <c r="B1009" s="279"/>
      <c r="AC1009" s="305"/>
      <c r="AD1009" s="305"/>
      <c r="AE1009" s="305"/>
      <c r="AF1009" s="305"/>
      <c r="AG1009" s="305"/>
      <c r="AH1009" s="305"/>
      <c r="AI1009" s="305"/>
    </row>
    <row r="1010" spans="1:63" x14ac:dyDescent="0.2">
      <c r="A1010" s="278"/>
      <c r="B1010" s="279"/>
    </row>
    <row r="1011" spans="1:63" x14ac:dyDescent="0.2">
      <c r="A1011" s="278"/>
      <c r="B1011" s="279"/>
      <c r="N1011" s="305"/>
      <c r="BK1011" s="295"/>
    </row>
    <row r="1012" spans="1:63" x14ac:dyDescent="0.2">
      <c r="A1012" s="278"/>
      <c r="B1012" s="279"/>
      <c r="N1012" s="305"/>
      <c r="BK1012" s="295"/>
    </row>
    <row r="1013" spans="1:63" x14ac:dyDescent="0.2">
      <c r="A1013" s="278"/>
      <c r="B1013" s="279"/>
      <c r="N1013" s="305"/>
      <c r="BK1013" s="295"/>
    </row>
    <row r="1014" spans="1:63" x14ac:dyDescent="0.2">
      <c r="A1014" s="278"/>
      <c r="B1014" s="279"/>
      <c r="N1014" s="305"/>
      <c r="BK1014" s="295"/>
    </row>
    <row r="1015" spans="1:63" x14ac:dyDescent="0.2">
      <c r="A1015" s="278"/>
      <c r="B1015" s="279"/>
      <c r="N1015" s="305"/>
      <c r="BK1015" s="295"/>
    </row>
    <row r="1016" spans="1:63" x14ac:dyDescent="0.2">
      <c r="A1016" s="278"/>
      <c r="B1016" s="279"/>
      <c r="N1016" s="305"/>
      <c r="BK1016" s="295"/>
    </row>
    <row r="1017" spans="1:63" x14ac:dyDescent="0.2">
      <c r="A1017" s="278"/>
      <c r="B1017" s="279"/>
    </row>
    <row r="1018" spans="1:63" x14ac:dyDescent="0.2">
      <c r="A1018" s="278"/>
      <c r="B1018" s="279"/>
    </row>
    <row r="1019" spans="1:63" x14ac:dyDescent="0.2">
      <c r="A1019" s="278"/>
    </row>
    <row r="1020" spans="1:63" x14ac:dyDescent="0.2">
      <c r="A1020" s="278"/>
      <c r="B1020" s="279"/>
    </row>
    <row r="1021" spans="1:63" x14ac:dyDescent="0.2">
      <c r="A1021" s="278"/>
      <c r="B1021" s="279"/>
    </row>
    <row r="1022" spans="1:63" x14ac:dyDescent="0.2">
      <c r="A1022" s="278"/>
      <c r="B1022" s="279"/>
    </row>
    <row r="1023" spans="1:63" x14ac:dyDescent="0.2">
      <c r="A1023" s="278"/>
      <c r="B1023" s="279"/>
    </row>
    <row r="1024" spans="1:63" x14ac:dyDescent="0.2">
      <c r="A1024" s="278"/>
      <c r="B1024" s="279"/>
      <c r="BK1024" s="319"/>
    </row>
    <row r="1025" spans="1:63" x14ac:dyDescent="0.2">
      <c r="A1025" s="278"/>
      <c r="B1025" s="279"/>
      <c r="BK1025" s="319"/>
    </row>
    <row r="1026" spans="1:63" x14ac:dyDescent="0.2">
      <c r="A1026" s="278"/>
      <c r="B1026" s="279"/>
      <c r="BK1026" s="319"/>
    </row>
    <row r="1027" spans="1:63" x14ac:dyDescent="0.2">
      <c r="A1027" s="278"/>
      <c r="B1027" s="279"/>
      <c r="BK1027" s="319"/>
    </row>
    <row r="1028" spans="1:63" x14ac:dyDescent="0.2">
      <c r="A1028" s="278"/>
      <c r="B1028" s="279"/>
      <c r="BK1028" s="319"/>
    </row>
    <row r="1029" spans="1:63" x14ac:dyDescent="0.2">
      <c r="A1029" s="278"/>
      <c r="B1029" s="279"/>
      <c r="BK1029" s="319"/>
    </row>
    <row r="1030" spans="1:63" x14ac:dyDescent="0.2">
      <c r="A1030" s="278"/>
      <c r="B1030" s="279"/>
    </row>
    <row r="1031" spans="1:63" x14ac:dyDescent="0.2">
      <c r="A1031" s="278"/>
      <c r="B1031" s="279"/>
    </row>
    <row r="1032" spans="1:63" x14ac:dyDescent="0.2">
      <c r="A1032" s="278"/>
      <c r="B1032" s="279"/>
    </row>
    <row r="1033" spans="1:63" x14ac:dyDescent="0.2">
      <c r="A1033" s="278"/>
      <c r="B1033" s="279"/>
    </row>
    <row r="1034" spans="1:63" x14ac:dyDescent="0.2">
      <c r="A1034" s="278"/>
      <c r="B1034" s="279"/>
    </row>
    <row r="1035" spans="1:63" x14ac:dyDescent="0.2">
      <c r="A1035" s="278"/>
      <c r="B1035" s="279"/>
    </row>
    <row r="1036" spans="1:63" x14ac:dyDescent="0.2">
      <c r="A1036" s="278"/>
      <c r="B1036" s="279"/>
    </row>
    <row r="1037" spans="1:63" x14ac:dyDescent="0.2">
      <c r="A1037" s="278"/>
      <c r="B1037" s="279"/>
    </row>
    <row r="1038" spans="1:63" x14ac:dyDescent="0.2">
      <c r="A1038" s="278"/>
      <c r="B1038" s="279"/>
    </row>
    <row r="1039" spans="1:63" x14ac:dyDescent="0.2">
      <c r="A1039" s="278"/>
      <c r="B1039" s="279"/>
    </row>
    <row r="1040" spans="1:63" x14ac:dyDescent="0.2">
      <c r="A1040" s="278"/>
      <c r="B1040" s="279"/>
    </row>
    <row r="1041" spans="1:75" x14ac:dyDescent="0.2">
      <c r="A1041" s="278"/>
      <c r="B1041" s="279"/>
    </row>
    <row r="1042" spans="1:75" x14ac:dyDescent="0.2">
      <c r="A1042" s="278"/>
      <c r="B1042" s="279"/>
    </row>
    <row r="1043" spans="1:75" x14ac:dyDescent="0.2">
      <c r="A1043" s="278"/>
      <c r="B1043" s="279"/>
    </row>
    <row r="1044" spans="1:75" x14ac:dyDescent="0.2">
      <c r="A1044" s="278"/>
      <c r="B1044" s="279"/>
    </row>
    <row r="1045" spans="1:75" x14ac:dyDescent="0.2">
      <c r="A1045" s="278"/>
      <c r="B1045" s="279"/>
    </row>
    <row r="1046" spans="1:75" x14ac:dyDescent="0.2">
      <c r="A1046" s="278"/>
      <c r="B1046" s="279"/>
    </row>
    <row r="1047" spans="1:75" x14ac:dyDescent="0.2">
      <c r="A1047" s="278"/>
      <c r="B1047" s="279"/>
    </row>
    <row r="1048" spans="1:75" x14ac:dyDescent="0.2">
      <c r="A1048" s="278"/>
      <c r="B1048" s="279"/>
    </row>
    <row r="1049" spans="1:75" x14ac:dyDescent="0.2">
      <c r="A1049" s="278"/>
      <c r="B1049" s="279"/>
    </row>
    <row r="1050" spans="1:75" x14ac:dyDescent="0.2">
      <c r="A1050" s="278"/>
      <c r="B1050" s="279"/>
    </row>
    <row r="1051" spans="1:75" x14ac:dyDescent="0.2">
      <c r="A1051" s="278"/>
      <c r="B1051" s="279"/>
    </row>
    <row r="1052" spans="1:75" x14ac:dyDescent="0.2">
      <c r="A1052" s="278"/>
      <c r="B1052" s="279"/>
      <c r="BV1052" s="295"/>
      <c r="BW1052" s="295"/>
    </row>
    <row r="1053" spans="1:75" x14ac:dyDescent="0.2">
      <c r="A1053" s="278"/>
      <c r="B1053" s="279"/>
      <c r="BV1053" s="295"/>
      <c r="BW1053" s="295"/>
    </row>
    <row r="1054" spans="1:75" x14ac:dyDescent="0.2">
      <c r="A1054" s="278"/>
      <c r="B1054" s="279"/>
      <c r="BV1054" s="295"/>
      <c r="BW1054" s="295"/>
    </row>
    <row r="1055" spans="1:75" x14ac:dyDescent="0.2">
      <c r="A1055" s="278"/>
      <c r="B1055" s="279"/>
      <c r="BV1055" s="295"/>
      <c r="BW1055" s="295"/>
    </row>
    <row r="1056" spans="1:75" x14ac:dyDescent="0.2">
      <c r="A1056" s="278"/>
      <c r="B1056" s="279"/>
      <c r="BV1056" s="295"/>
      <c r="BW1056" s="295"/>
    </row>
    <row r="1057" spans="1:75" x14ac:dyDescent="0.2">
      <c r="A1057" s="278"/>
      <c r="B1057" s="279"/>
      <c r="BV1057" s="295"/>
      <c r="BW1057" s="295"/>
    </row>
    <row r="1058" spans="1:75" x14ac:dyDescent="0.2">
      <c r="A1058" s="278"/>
      <c r="B1058" s="279"/>
    </row>
    <row r="1059" spans="1:75" x14ac:dyDescent="0.2">
      <c r="A1059" s="278"/>
      <c r="B1059" s="279"/>
    </row>
    <row r="1060" spans="1:75" x14ac:dyDescent="0.2">
      <c r="A1060" s="278"/>
      <c r="B1060" s="279"/>
    </row>
    <row r="1061" spans="1:75" x14ac:dyDescent="0.2">
      <c r="A1061" s="278"/>
      <c r="B1061" s="279"/>
    </row>
    <row r="1062" spans="1:75" x14ac:dyDescent="0.2">
      <c r="A1062" s="278"/>
      <c r="B1062" s="279"/>
    </row>
    <row r="1063" spans="1:75" x14ac:dyDescent="0.2">
      <c r="A1063" s="278"/>
      <c r="B1063" s="279"/>
    </row>
    <row r="1064" spans="1:75" x14ac:dyDescent="0.2">
      <c r="A1064" s="278"/>
      <c r="B1064" s="279"/>
    </row>
    <row r="1065" spans="1:75" x14ac:dyDescent="0.2">
      <c r="A1065" s="278"/>
      <c r="B1065" s="279"/>
      <c r="BV1065" s="319"/>
      <c r="BW1065" s="319"/>
    </row>
    <row r="1066" spans="1:75" x14ac:dyDescent="0.2">
      <c r="A1066" s="278"/>
      <c r="B1066" s="279"/>
      <c r="BV1066" s="319"/>
      <c r="BW1066" s="319"/>
    </row>
    <row r="1067" spans="1:75" x14ac:dyDescent="0.2">
      <c r="A1067" s="278"/>
      <c r="B1067" s="279"/>
      <c r="BV1067" s="319"/>
      <c r="BW1067" s="319"/>
    </row>
    <row r="1068" spans="1:75" x14ac:dyDescent="0.2">
      <c r="A1068" s="278"/>
      <c r="B1068" s="279"/>
      <c r="BV1068" s="319"/>
      <c r="BW1068" s="319"/>
    </row>
    <row r="1069" spans="1:75" x14ac:dyDescent="0.2">
      <c r="A1069" s="278"/>
      <c r="B1069" s="279"/>
      <c r="BV1069" s="319"/>
      <c r="BW1069" s="319"/>
    </row>
    <row r="1070" spans="1:75" x14ac:dyDescent="0.2">
      <c r="A1070" s="278"/>
      <c r="B1070" s="279"/>
      <c r="BV1070" s="319"/>
      <c r="BW1070" s="319"/>
    </row>
    <row r="1071" spans="1:75" x14ac:dyDescent="0.2">
      <c r="A1071" s="278"/>
      <c r="B1071" s="279"/>
    </row>
    <row r="1072" spans="1:75" x14ac:dyDescent="0.2">
      <c r="B1072" s="322"/>
    </row>
    <row r="1073" spans="2:65" x14ac:dyDescent="0.2">
      <c r="B1073" s="322"/>
    </row>
    <row r="1074" spans="2:65" x14ac:dyDescent="0.2">
      <c r="B1074" s="322"/>
    </row>
    <row r="1075" spans="2:65" x14ac:dyDescent="0.2">
      <c r="B1075" s="322"/>
    </row>
    <row r="1076" spans="2:65" x14ac:dyDescent="0.2">
      <c r="B1076" s="322"/>
    </row>
    <row r="1077" spans="2:65" x14ac:dyDescent="0.2">
      <c r="B1077" s="322"/>
      <c r="BM1077" s="320"/>
    </row>
    <row r="1078" spans="2:65" x14ac:dyDescent="0.2">
      <c r="B1078" s="322"/>
      <c r="BM1078" s="320"/>
    </row>
    <row r="1079" spans="2:65" x14ac:dyDescent="0.2">
      <c r="B1079" s="322"/>
      <c r="BM1079" s="320"/>
    </row>
    <row r="1080" spans="2:65" x14ac:dyDescent="0.2">
      <c r="B1080" s="322"/>
      <c r="BM1080" s="320"/>
    </row>
    <row r="1081" spans="2:65" x14ac:dyDescent="0.2">
      <c r="B1081" s="322"/>
      <c r="BM1081" s="320"/>
    </row>
    <row r="1082" spans="2:65" x14ac:dyDescent="0.2">
      <c r="B1082" s="322"/>
      <c r="BM1082" s="320"/>
    </row>
    <row r="1083" spans="2:65" x14ac:dyDescent="0.2">
      <c r="B1083" s="322"/>
    </row>
    <row r="1084" spans="2:65" x14ac:dyDescent="0.2">
      <c r="B1084" s="322"/>
    </row>
    <row r="1085" spans="2:65" x14ac:dyDescent="0.2">
      <c r="B1085" s="322"/>
    </row>
    <row r="1086" spans="2:65" x14ac:dyDescent="0.2">
      <c r="B1086" s="322"/>
    </row>
    <row r="1087" spans="2:65" x14ac:dyDescent="0.2">
      <c r="B1087" s="322"/>
    </row>
    <row r="1088" spans="2:65" x14ac:dyDescent="0.2">
      <c r="B1088" s="322"/>
    </row>
    <row r="1089" spans="2:73" x14ac:dyDescent="0.2">
      <c r="B1089" s="322"/>
      <c r="BN1089" s="277"/>
      <c r="BO1089" s="277"/>
      <c r="BP1089" s="277"/>
      <c r="BQ1089" s="277"/>
      <c r="BR1089" s="277"/>
      <c r="BS1089" s="277"/>
      <c r="BT1089" s="277"/>
      <c r="BU1089" s="277"/>
    </row>
    <row r="1090" spans="2:73" x14ac:dyDescent="0.2">
      <c r="B1090" s="322"/>
      <c r="BM1090" s="321"/>
      <c r="BN1090" s="277"/>
      <c r="BO1090" s="277"/>
      <c r="BP1090" s="277"/>
      <c r="BQ1090" s="277"/>
      <c r="BR1090" s="277"/>
      <c r="BS1090" s="277"/>
      <c r="BT1090" s="277"/>
      <c r="BU1090" s="277"/>
    </row>
    <row r="1091" spans="2:73" x14ac:dyDescent="0.2">
      <c r="B1091" s="322"/>
      <c r="BM1091" s="321"/>
      <c r="BN1091" s="277"/>
      <c r="BO1091" s="277"/>
      <c r="BP1091" s="277"/>
      <c r="BQ1091" s="277"/>
      <c r="BR1091" s="277"/>
      <c r="BS1091" s="277"/>
      <c r="BT1091" s="277"/>
      <c r="BU1091" s="277"/>
    </row>
    <row r="1092" spans="2:73" x14ac:dyDescent="0.2">
      <c r="B1092" s="322"/>
      <c r="BM1092" s="321"/>
      <c r="BN1092" s="277"/>
      <c r="BO1092" s="277"/>
      <c r="BP1092" s="277"/>
      <c r="BQ1092" s="277"/>
      <c r="BR1092" s="277"/>
      <c r="BS1092" s="277"/>
      <c r="BT1092" s="277"/>
      <c r="BU1092" s="277"/>
    </row>
    <row r="1093" spans="2:73" x14ac:dyDescent="0.2">
      <c r="B1093" s="322"/>
      <c r="BM1093" s="321"/>
      <c r="BN1093" s="277"/>
      <c r="BO1093" s="277"/>
      <c r="BP1093" s="277"/>
      <c r="BQ1093" s="277"/>
      <c r="BR1093" s="277"/>
      <c r="BS1093" s="277"/>
      <c r="BT1093" s="277"/>
      <c r="BU1093" s="277"/>
    </row>
    <row r="1094" spans="2:73" x14ac:dyDescent="0.2">
      <c r="B1094" s="322"/>
      <c r="BM1094" s="321"/>
      <c r="BN1094" s="277"/>
      <c r="BO1094" s="277"/>
      <c r="BP1094" s="277"/>
      <c r="BQ1094" s="277"/>
      <c r="BR1094" s="277"/>
      <c r="BS1094" s="277"/>
      <c r="BT1094" s="277"/>
      <c r="BU1094" s="277"/>
    </row>
    <row r="1095" spans="2:73" x14ac:dyDescent="0.2">
      <c r="B1095" s="322"/>
      <c r="BB1095" s="277"/>
      <c r="BM1095" s="321"/>
    </row>
    <row r="1096" spans="2:73" x14ac:dyDescent="0.2">
      <c r="B1096" s="322"/>
      <c r="BB1096" s="277"/>
    </row>
    <row r="1097" spans="2:73" x14ac:dyDescent="0.2">
      <c r="B1097" s="322"/>
      <c r="BB1097" s="277"/>
    </row>
    <row r="1098" spans="2:73" x14ac:dyDescent="0.2">
      <c r="B1098" s="322"/>
      <c r="BB1098" s="277"/>
    </row>
    <row r="1099" spans="2:73" x14ac:dyDescent="0.2">
      <c r="B1099" s="322"/>
      <c r="BB1099" s="277"/>
    </row>
    <row r="1100" spans="2:73" x14ac:dyDescent="0.2">
      <c r="B1100" s="322"/>
      <c r="BB1100" s="277"/>
    </row>
    <row r="1101" spans="2:73" x14ac:dyDescent="0.2">
      <c r="B1101" s="322"/>
    </row>
    <row r="1102" spans="2:73" x14ac:dyDescent="0.2">
      <c r="B1102" s="322"/>
      <c r="BN1102" s="305"/>
      <c r="BO1102" s="305"/>
      <c r="BP1102" s="305"/>
      <c r="BQ1102" s="305"/>
      <c r="BR1102" s="305"/>
      <c r="BS1102" s="305"/>
      <c r="BT1102" s="305"/>
      <c r="BU1102" s="305"/>
    </row>
    <row r="1103" spans="2:73" x14ac:dyDescent="0.2">
      <c r="B1103" s="322"/>
      <c r="BN1103" s="305"/>
      <c r="BO1103" s="305"/>
      <c r="BP1103" s="305"/>
      <c r="BQ1103" s="305"/>
      <c r="BR1103" s="305"/>
      <c r="BS1103" s="305"/>
      <c r="BT1103" s="305"/>
      <c r="BU1103" s="305"/>
    </row>
    <row r="1104" spans="2:73" x14ac:dyDescent="0.2">
      <c r="B1104" s="322"/>
      <c r="BN1104" s="305"/>
      <c r="BO1104" s="305"/>
      <c r="BP1104" s="305"/>
      <c r="BQ1104" s="305"/>
      <c r="BR1104" s="305"/>
      <c r="BS1104" s="305"/>
      <c r="BT1104" s="305"/>
      <c r="BU1104" s="305"/>
    </row>
    <row r="1105" spans="2:86" x14ac:dyDescent="0.2">
      <c r="B1105" s="322"/>
      <c r="BN1105" s="305"/>
      <c r="BO1105" s="305"/>
      <c r="BP1105" s="305"/>
      <c r="BQ1105" s="305"/>
      <c r="BR1105" s="305"/>
      <c r="BS1105" s="305"/>
      <c r="BT1105" s="305"/>
      <c r="BU1105" s="305"/>
    </row>
    <row r="1106" spans="2:86" x14ac:dyDescent="0.2">
      <c r="B1106" s="322"/>
      <c r="BN1106" s="305"/>
      <c r="BO1106" s="305"/>
      <c r="BP1106" s="305"/>
      <c r="BQ1106" s="305"/>
      <c r="BR1106" s="305"/>
      <c r="BS1106" s="305"/>
      <c r="BT1106" s="305"/>
      <c r="BU1106" s="305"/>
    </row>
    <row r="1107" spans="2:86" x14ac:dyDescent="0.2">
      <c r="B1107" s="322"/>
      <c r="BN1107" s="305"/>
      <c r="BO1107" s="305"/>
      <c r="BP1107" s="305"/>
      <c r="BQ1107" s="305"/>
      <c r="BR1107" s="305"/>
      <c r="BS1107" s="305"/>
      <c r="BT1107" s="305"/>
      <c r="BU1107" s="305"/>
    </row>
    <row r="1108" spans="2:86" x14ac:dyDescent="0.2">
      <c r="B1108" s="322"/>
      <c r="BB1108" s="305"/>
    </row>
    <row r="1109" spans="2:86" x14ac:dyDescent="0.2">
      <c r="B1109" s="322"/>
      <c r="BB1109" s="305"/>
    </row>
    <row r="1110" spans="2:86" x14ac:dyDescent="0.2">
      <c r="B1110" s="322"/>
      <c r="BB1110" s="305"/>
    </row>
    <row r="1111" spans="2:86" x14ac:dyDescent="0.2">
      <c r="B1111" s="322"/>
      <c r="BB1111" s="305"/>
    </row>
    <row r="1112" spans="2:86" x14ac:dyDescent="0.2">
      <c r="B1112" s="322"/>
      <c r="BB1112" s="305"/>
    </row>
    <row r="1113" spans="2:86" x14ac:dyDescent="0.2">
      <c r="B1113" s="322"/>
      <c r="BB1113" s="305"/>
    </row>
    <row r="1114" spans="2:86" x14ac:dyDescent="0.2">
      <c r="B1114" s="322"/>
    </row>
    <row r="1115" spans="2:86" x14ac:dyDescent="0.2">
      <c r="B1115" s="322"/>
    </row>
    <row r="1116" spans="2:86" x14ac:dyDescent="0.2">
      <c r="B1116" s="322"/>
    </row>
    <row r="1117" spans="2:86" x14ac:dyDescent="0.2">
      <c r="B1117" s="322"/>
    </row>
    <row r="1118" spans="2:86" x14ac:dyDescent="0.2">
      <c r="B1118" s="322"/>
      <c r="CH1118" s="295"/>
    </row>
    <row r="1119" spans="2:86" x14ac:dyDescent="0.2">
      <c r="B1119" s="322"/>
      <c r="CH1119" s="295"/>
    </row>
    <row r="1120" spans="2:86" x14ac:dyDescent="0.2">
      <c r="B1120" s="322"/>
      <c r="CH1120" s="295"/>
    </row>
    <row r="1121" spans="1:86" x14ac:dyDescent="0.2">
      <c r="B1121" s="322"/>
      <c r="CH1121" s="295"/>
    </row>
    <row r="1122" spans="1:86" x14ac:dyDescent="0.2">
      <c r="A1122" s="295"/>
      <c r="B1122" s="322"/>
      <c r="CH1122" s="295"/>
    </row>
    <row r="1123" spans="1:86" x14ac:dyDescent="0.2">
      <c r="B1123" s="322"/>
      <c r="CH1123" s="295"/>
    </row>
    <row r="1124" spans="1:86" x14ac:dyDescent="0.2">
      <c r="B1124" s="322"/>
      <c r="BZ1124" s="277"/>
      <c r="CA1124" s="277"/>
    </row>
    <row r="1125" spans="1:86" x14ac:dyDescent="0.2">
      <c r="A1125" s="305"/>
      <c r="B1125" s="322"/>
      <c r="BZ1125" s="277"/>
      <c r="CA1125" s="277"/>
    </row>
    <row r="1126" spans="1:86" x14ac:dyDescent="0.2">
      <c r="A1126" s="305"/>
      <c r="B1126" s="322"/>
      <c r="BZ1126" s="277"/>
      <c r="CA1126" s="277"/>
    </row>
    <row r="1127" spans="1:86" x14ac:dyDescent="0.2">
      <c r="A1127" s="305"/>
      <c r="B1127" s="322"/>
      <c r="BZ1127" s="277"/>
      <c r="CA1127" s="277"/>
    </row>
    <row r="1128" spans="1:86" x14ac:dyDescent="0.2">
      <c r="A1128" s="305"/>
      <c r="B1128" s="322"/>
      <c r="BZ1128" s="277"/>
      <c r="CA1128" s="277"/>
    </row>
    <row r="1129" spans="1:86" x14ac:dyDescent="0.2">
      <c r="A1129" s="305"/>
      <c r="B1129" s="322"/>
      <c r="BZ1129" s="277"/>
      <c r="CA1129" s="277"/>
    </row>
    <row r="1130" spans="1:86" x14ac:dyDescent="0.2">
      <c r="A1130" s="305"/>
      <c r="B1130" s="322"/>
    </row>
    <row r="1131" spans="1:86" x14ac:dyDescent="0.2">
      <c r="B1131" s="322"/>
      <c r="CH1131" s="319"/>
    </row>
    <row r="1132" spans="1:86" x14ac:dyDescent="0.2">
      <c r="B1132" s="322"/>
      <c r="BY1132" s="277"/>
      <c r="CH1132" s="319"/>
    </row>
    <row r="1133" spans="1:86" x14ac:dyDescent="0.2">
      <c r="B1133" s="322"/>
      <c r="BY1133" s="277"/>
      <c r="CH1133" s="319"/>
    </row>
    <row r="1134" spans="1:86" x14ac:dyDescent="0.2">
      <c r="B1134" s="322"/>
      <c r="BY1134" s="277"/>
      <c r="CH1134" s="319"/>
    </row>
    <row r="1135" spans="1:86" x14ac:dyDescent="0.2">
      <c r="B1135" s="322"/>
      <c r="BY1135" s="277"/>
      <c r="CH1135" s="319"/>
    </row>
    <row r="1136" spans="1:86" x14ac:dyDescent="0.2">
      <c r="B1136" s="322"/>
      <c r="BY1136" s="277"/>
      <c r="CH1136" s="319"/>
    </row>
    <row r="1137" spans="2:79" x14ac:dyDescent="0.2">
      <c r="B1137" s="322"/>
      <c r="BY1137" s="277"/>
      <c r="BZ1137" s="305"/>
      <c r="CA1137" s="305"/>
    </row>
    <row r="1138" spans="2:79" x14ac:dyDescent="0.2">
      <c r="B1138" s="322"/>
      <c r="BZ1138" s="305"/>
      <c r="CA1138" s="305"/>
    </row>
    <row r="1139" spans="2:79" x14ac:dyDescent="0.2">
      <c r="B1139" s="322"/>
      <c r="BZ1139" s="305"/>
      <c r="CA1139" s="305"/>
    </row>
    <row r="1140" spans="2:79" x14ac:dyDescent="0.2">
      <c r="B1140" s="322"/>
      <c r="BZ1140" s="305"/>
      <c r="CA1140" s="305"/>
    </row>
    <row r="1141" spans="2:79" x14ac:dyDescent="0.2">
      <c r="B1141" s="279"/>
      <c r="BZ1141" s="305"/>
      <c r="CA1141" s="305"/>
    </row>
    <row r="1142" spans="2:79" x14ac:dyDescent="0.2">
      <c r="B1142" s="279"/>
      <c r="BX1142" s="277"/>
      <c r="BZ1142" s="305"/>
      <c r="CA1142" s="305"/>
    </row>
    <row r="1143" spans="2:79" x14ac:dyDescent="0.2">
      <c r="B1143" s="279"/>
      <c r="BX1143" s="277"/>
    </row>
    <row r="1144" spans="2:79" x14ac:dyDescent="0.2">
      <c r="B1144" s="279"/>
      <c r="BX1144" s="277"/>
    </row>
    <row r="1145" spans="2:79" x14ac:dyDescent="0.2">
      <c r="B1145" s="279"/>
      <c r="BX1145" s="277"/>
      <c r="BY1145" s="305"/>
    </row>
    <row r="1146" spans="2:79" x14ac:dyDescent="0.2">
      <c r="B1146" s="279"/>
      <c r="BX1146" s="277"/>
      <c r="BY1146" s="305"/>
    </row>
    <row r="1147" spans="2:79" x14ac:dyDescent="0.2">
      <c r="B1147" s="279"/>
      <c r="BX1147" s="277"/>
      <c r="BY1147" s="305"/>
    </row>
    <row r="1148" spans="2:79" x14ac:dyDescent="0.2">
      <c r="B1148" s="279"/>
      <c r="BY1148" s="305"/>
    </row>
    <row r="1149" spans="2:79" x14ac:dyDescent="0.2">
      <c r="B1149" s="279"/>
      <c r="BD1149" s="277"/>
      <c r="BG1149" s="277"/>
      <c r="BH1149" s="277"/>
      <c r="BI1149" s="277"/>
      <c r="BJ1149" s="277"/>
      <c r="BY1149" s="305"/>
    </row>
    <row r="1150" spans="2:79" x14ac:dyDescent="0.2">
      <c r="B1150" s="279"/>
      <c r="BC1150" s="277"/>
      <c r="BD1150" s="277"/>
      <c r="BE1150" s="277"/>
      <c r="BF1150" s="277"/>
      <c r="BG1150" s="277"/>
      <c r="BH1150" s="277"/>
      <c r="BI1150" s="277"/>
      <c r="BJ1150" s="277"/>
      <c r="BY1150" s="305"/>
    </row>
    <row r="1151" spans="2:79" x14ac:dyDescent="0.2">
      <c r="B1151" s="279"/>
      <c r="BC1151" s="277"/>
      <c r="BD1151" s="277"/>
      <c r="BE1151" s="277"/>
      <c r="BF1151" s="277"/>
      <c r="BG1151" s="277"/>
      <c r="BH1151" s="277"/>
      <c r="BI1151" s="277"/>
      <c r="BJ1151" s="277"/>
    </row>
    <row r="1152" spans="2:79" x14ac:dyDescent="0.2">
      <c r="B1152" s="279"/>
      <c r="BC1152" s="277"/>
      <c r="BD1152" s="277"/>
      <c r="BE1152" s="277"/>
      <c r="BF1152" s="277"/>
      <c r="BG1152" s="277"/>
      <c r="BH1152" s="277"/>
      <c r="BI1152" s="277"/>
      <c r="BJ1152" s="277"/>
    </row>
    <row r="1153" spans="2:85" x14ac:dyDescent="0.2">
      <c r="B1153" s="279"/>
      <c r="BC1153" s="277"/>
      <c r="BD1153" s="277"/>
      <c r="BE1153" s="277"/>
      <c r="BF1153" s="277"/>
      <c r="BG1153" s="277"/>
      <c r="BH1153" s="277"/>
      <c r="BI1153" s="277"/>
      <c r="BJ1153" s="277"/>
    </row>
    <row r="1154" spans="2:85" x14ac:dyDescent="0.2">
      <c r="B1154" s="279"/>
      <c r="BC1154" s="277"/>
      <c r="BD1154" s="277"/>
      <c r="BE1154" s="277"/>
      <c r="BF1154" s="277"/>
      <c r="BG1154" s="277"/>
      <c r="BH1154" s="277"/>
      <c r="BI1154" s="277"/>
      <c r="BJ1154" s="277"/>
    </row>
    <row r="1155" spans="2:85" x14ac:dyDescent="0.2">
      <c r="B1155" s="279"/>
      <c r="BC1155" s="277"/>
      <c r="BE1155" s="277"/>
      <c r="BF1155" s="277"/>
      <c r="BX1155" s="305"/>
    </row>
    <row r="1156" spans="2:85" x14ac:dyDescent="0.2">
      <c r="B1156" s="279"/>
      <c r="BX1156" s="305"/>
      <c r="CB1156" s="277"/>
      <c r="CC1156" s="277"/>
      <c r="CD1156" s="295"/>
      <c r="CE1156" s="295"/>
      <c r="CF1156" s="295"/>
      <c r="CG1156" s="295"/>
    </row>
    <row r="1157" spans="2:85" x14ac:dyDescent="0.2">
      <c r="B1157" s="279"/>
      <c r="BX1157" s="305"/>
      <c r="CB1157" s="277"/>
      <c r="CC1157" s="277"/>
      <c r="CD1157" s="295"/>
      <c r="CE1157" s="295"/>
      <c r="CF1157" s="295"/>
      <c r="CG1157" s="295"/>
    </row>
    <row r="1158" spans="2:85" x14ac:dyDescent="0.2">
      <c r="B1158" s="279"/>
      <c r="BX1158" s="305"/>
      <c r="CB1158" s="277"/>
      <c r="CC1158" s="277"/>
      <c r="CD1158" s="295"/>
      <c r="CE1158" s="295"/>
      <c r="CF1158" s="295"/>
      <c r="CG1158" s="295"/>
    </row>
    <row r="1159" spans="2:85" x14ac:dyDescent="0.2">
      <c r="B1159" s="279"/>
      <c r="BX1159" s="305"/>
      <c r="CB1159" s="277"/>
      <c r="CC1159" s="277"/>
      <c r="CD1159" s="295"/>
      <c r="CE1159" s="295"/>
      <c r="CF1159" s="295"/>
      <c r="CG1159" s="295"/>
    </row>
    <row r="1160" spans="2:85" x14ac:dyDescent="0.2">
      <c r="B1160" s="279"/>
      <c r="BX1160" s="305"/>
      <c r="CB1160" s="277"/>
      <c r="CC1160" s="277"/>
      <c r="CD1160" s="295"/>
      <c r="CE1160" s="295"/>
      <c r="CF1160" s="295"/>
      <c r="CG1160" s="295"/>
    </row>
    <row r="1161" spans="2:85" x14ac:dyDescent="0.2">
      <c r="B1161" s="279"/>
      <c r="CB1161" s="277"/>
      <c r="CC1161" s="277"/>
      <c r="CD1161" s="295"/>
      <c r="CE1161" s="295"/>
      <c r="CF1161" s="295"/>
      <c r="CG1161" s="295"/>
    </row>
    <row r="1162" spans="2:85" x14ac:dyDescent="0.2">
      <c r="B1162" s="279"/>
      <c r="BD1162" s="305"/>
      <c r="BG1162" s="305"/>
      <c r="BH1162" s="305"/>
      <c r="BI1162" s="305"/>
      <c r="BJ1162" s="305"/>
    </row>
    <row r="1163" spans="2:85" x14ac:dyDescent="0.2">
      <c r="B1163" s="279"/>
      <c r="BC1163" s="305"/>
      <c r="BD1163" s="305"/>
      <c r="BE1163" s="305"/>
      <c r="BF1163" s="305"/>
      <c r="BG1163" s="305"/>
      <c r="BH1163" s="305"/>
      <c r="BI1163" s="305"/>
      <c r="BJ1163" s="305"/>
    </row>
    <row r="1164" spans="2:85" x14ac:dyDescent="0.2">
      <c r="B1164" s="279"/>
      <c r="BC1164" s="305"/>
      <c r="BD1164" s="305"/>
      <c r="BE1164" s="305"/>
      <c r="BF1164" s="305"/>
      <c r="BG1164" s="305"/>
      <c r="BH1164" s="305"/>
      <c r="BI1164" s="305"/>
      <c r="BJ1164" s="305"/>
    </row>
    <row r="1165" spans="2:85" x14ac:dyDescent="0.2">
      <c r="B1165" s="279"/>
      <c r="BC1165" s="305"/>
      <c r="BD1165" s="305"/>
      <c r="BE1165" s="305"/>
      <c r="BF1165" s="305"/>
      <c r="BG1165" s="305"/>
      <c r="BH1165" s="305"/>
      <c r="BI1165" s="305"/>
      <c r="BJ1165" s="305"/>
    </row>
    <row r="1166" spans="2:85" x14ac:dyDescent="0.2">
      <c r="B1166" s="279"/>
      <c r="BC1166" s="305"/>
      <c r="BD1166" s="305"/>
      <c r="BE1166" s="305"/>
      <c r="BF1166" s="305"/>
      <c r="BG1166" s="305"/>
      <c r="BH1166" s="305"/>
      <c r="BI1166" s="305"/>
      <c r="BJ1166" s="305"/>
    </row>
    <row r="1167" spans="2:85" x14ac:dyDescent="0.2">
      <c r="B1167" s="279"/>
      <c r="BC1167" s="305"/>
      <c r="BD1167" s="305"/>
      <c r="BE1167" s="305"/>
      <c r="BF1167" s="305"/>
      <c r="BG1167" s="305"/>
      <c r="BH1167" s="305"/>
      <c r="BI1167" s="305"/>
      <c r="BJ1167" s="305"/>
    </row>
    <row r="1168" spans="2:85" x14ac:dyDescent="0.2">
      <c r="B1168" s="279"/>
      <c r="BC1168" s="305"/>
      <c r="BE1168" s="305"/>
      <c r="BF1168" s="305"/>
    </row>
    <row r="1169" spans="2:85" x14ac:dyDescent="0.2">
      <c r="B1169" s="279"/>
      <c r="CB1169" s="305"/>
      <c r="CC1169" s="305"/>
      <c r="CD1169" s="319"/>
      <c r="CE1169" s="319"/>
      <c r="CF1169" s="319"/>
      <c r="CG1169" s="319"/>
    </row>
    <row r="1170" spans="2:85" x14ac:dyDescent="0.2">
      <c r="B1170" s="279"/>
      <c r="CB1170" s="305"/>
      <c r="CC1170" s="305"/>
      <c r="CD1170" s="319"/>
      <c r="CE1170" s="319"/>
      <c r="CF1170" s="319"/>
      <c r="CG1170" s="319"/>
    </row>
    <row r="1171" spans="2:85" x14ac:dyDescent="0.2">
      <c r="B1171" s="279"/>
      <c r="CB1171" s="305"/>
      <c r="CC1171" s="305"/>
      <c r="CD1171" s="319"/>
      <c r="CE1171" s="319"/>
      <c r="CF1171" s="319"/>
      <c r="CG1171" s="319"/>
    </row>
    <row r="1172" spans="2:85" x14ac:dyDescent="0.2">
      <c r="B1172" s="279"/>
      <c r="CB1172" s="305"/>
      <c r="CC1172" s="305"/>
      <c r="CD1172" s="319"/>
      <c r="CE1172" s="319"/>
      <c r="CF1172" s="319"/>
      <c r="CG1172" s="319"/>
    </row>
    <row r="1173" spans="2:85" x14ac:dyDescent="0.2">
      <c r="B1173" s="279"/>
      <c r="CB1173" s="305"/>
      <c r="CC1173" s="305"/>
      <c r="CD1173" s="319"/>
      <c r="CE1173" s="319"/>
      <c r="CF1173" s="319"/>
      <c r="CG1173" s="319"/>
    </row>
    <row r="1174" spans="2:85" x14ac:dyDescent="0.2">
      <c r="B1174" s="279"/>
      <c r="CB1174" s="305"/>
      <c r="CC1174" s="305"/>
      <c r="CD1174" s="319"/>
      <c r="CE1174" s="319"/>
      <c r="CF1174" s="319"/>
      <c r="CG1174" s="319"/>
    </row>
    <row r="1175" spans="2:85" x14ac:dyDescent="0.2">
      <c r="B1175" s="279"/>
    </row>
    <row r="1176" spans="2:85" x14ac:dyDescent="0.2">
      <c r="B1176" s="279"/>
    </row>
    <row r="1177" spans="2:85" x14ac:dyDescent="0.2">
      <c r="B1177" s="279"/>
    </row>
    <row r="1178" spans="2:85" x14ac:dyDescent="0.2">
      <c r="B1178" s="279"/>
    </row>
    <row r="1179" spans="2:85" x14ac:dyDescent="0.2">
      <c r="B1179" s="279"/>
    </row>
    <row r="1180" spans="2:85" x14ac:dyDescent="0.2">
      <c r="B1180" s="279"/>
    </row>
    <row r="1181" spans="2:85" x14ac:dyDescent="0.2">
      <c r="B1181" s="279"/>
    </row>
    <row r="1182" spans="2:85" x14ac:dyDescent="0.2">
      <c r="B1182" s="279"/>
    </row>
    <row r="1183" spans="2:85" x14ac:dyDescent="0.2">
      <c r="B1183" s="279"/>
    </row>
    <row r="1184" spans="2:85" x14ac:dyDescent="0.2">
      <c r="B1184" s="279"/>
    </row>
    <row r="1185" spans="2:2" x14ac:dyDescent="0.2">
      <c r="B1185" s="279"/>
    </row>
    <row r="1186" spans="2:2" x14ac:dyDescent="0.2">
      <c r="B1186" s="279"/>
    </row>
    <row r="1187" spans="2:2" x14ac:dyDescent="0.2">
      <c r="B1187" s="279"/>
    </row>
    <row r="1188" spans="2:2" x14ac:dyDescent="0.2">
      <c r="B1188" s="279"/>
    </row>
    <row r="1189" spans="2:2" x14ac:dyDescent="0.2">
      <c r="B1189" s="279"/>
    </row>
    <row r="1190" spans="2:2" x14ac:dyDescent="0.2">
      <c r="B1190" s="279"/>
    </row>
    <row r="1191" spans="2:2" x14ac:dyDescent="0.2">
      <c r="B1191" s="279"/>
    </row>
    <row r="1192" spans="2:2" x14ac:dyDescent="0.2">
      <c r="B1192" s="279"/>
    </row>
    <row r="1193" spans="2:2" x14ac:dyDescent="0.2">
      <c r="B1193" s="279"/>
    </row>
    <row r="1194" spans="2:2" x14ac:dyDescent="0.2">
      <c r="B1194" s="279"/>
    </row>
    <row r="1195" spans="2:2" x14ac:dyDescent="0.2">
      <c r="B1195" s="279"/>
    </row>
    <row r="1196" spans="2:2" x14ac:dyDescent="0.2">
      <c r="B1196" s="279"/>
    </row>
    <row r="1197" spans="2:2" x14ac:dyDescent="0.2">
      <c r="B1197" s="279"/>
    </row>
    <row r="1198" spans="2:2" x14ac:dyDescent="0.2">
      <c r="B1198" s="279"/>
    </row>
    <row r="1199" spans="2:2" x14ac:dyDescent="0.2">
      <c r="B1199" s="279"/>
    </row>
    <row r="1200" spans="2:2" x14ac:dyDescent="0.2">
      <c r="B1200" s="279"/>
    </row>
    <row r="1201" spans="2:3" x14ac:dyDescent="0.2">
      <c r="B1201" s="279"/>
    </row>
    <row r="1202" spans="2:3" x14ac:dyDescent="0.2">
      <c r="B1202" s="279"/>
    </row>
    <row r="1203" spans="2:3" x14ac:dyDescent="0.2">
      <c r="B1203" s="279"/>
    </row>
    <row r="1204" spans="2:3" x14ac:dyDescent="0.2">
      <c r="B1204" s="279"/>
    </row>
    <row r="1205" spans="2:3" x14ac:dyDescent="0.2">
      <c r="B1205" s="279"/>
    </row>
    <row r="1206" spans="2:3" x14ac:dyDescent="0.2">
      <c r="B1206" s="279"/>
    </row>
    <row r="1207" spans="2:3" x14ac:dyDescent="0.2">
      <c r="B1207" s="279"/>
    </row>
    <row r="1208" spans="2:3" x14ac:dyDescent="0.2">
      <c r="B1208" s="279"/>
    </row>
    <row r="1209" spans="2:3" x14ac:dyDescent="0.2">
      <c r="B1209" s="279"/>
    </row>
    <row r="1210" spans="2:3" x14ac:dyDescent="0.2">
      <c r="B1210" s="279"/>
    </row>
    <row r="1211" spans="2:3" x14ac:dyDescent="0.2">
      <c r="B1211" s="279"/>
    </row>
    <row r="1212" spans="2:3" x14ac:dyDescent="0.2">
      <c r="B1212" s="279"/>
    </row>
    <row r="1213" spans="2:3" x14ac:dyDescent="0.2">
      <c r="B1213" s="279"/>
      <c r="C1213" s="288"/>
    </row>
    <row r="1214" spans="2:3" x14ac:dyDescent="0.2">
      <c r="B1214" s="279"/>
    </row>
    <row r="1215" spans="2:3" x14ac:dyDescent="0.2">
      <c r="B1215" s="279"/>
    </row>
    <row r="1216" spans="2:3" x14ac:dyDescent="0.2">
      <c r="B1216" s="279"/>
    </row>
    <row r="1217" spans="1:2" x14ac:dyDescent="0.2">
      <c r="B1217" s="279"/>
    </row>
    <row r="1218" spans="1:2" x14ac:dyDescent="0.2">
      <c r="B1218" s="279"/>
    </row>
    <row r="1219" spans="1:2" x14ac:dyDescent="0.2">
      <c r="B1219" s="279"/>
    </row>
    <row r="1220" spans="1:2" x14ac:dyDescent="0.2">
      <c r="B1220" s="279"/>
    </row>
    <row r="1221" spans="1:2" x14ac:dyDescent="0.2">
      <c r="B1221" s="279"/>
    </row>
    <row r="1222" spans="1:2" x14ac:dyDescent="0.2">
      <c r="B1222" s="279"/>
    </row>
    <row r="1223" spans="1:2" x14ac:dyDescent="0.2">
      <c r="B1223" s="279"/>
    </row>
    <row r="1224" spans="1:2" x14ac:dyDescent="0.2">
      <c r="B1224" s="279"/>
    </row>
    <row r="1225" spans="1:2" x14ac:dyDescent="0.2">
      <c r="B1225" s="279"/>
    </row>
    <row r="1226" spans="1:2" x14ac:dyDescent="0.2">
      <c r="B1226" s="279"/>
    </row>
    <row r="1227" spans="1:2" x14ac:dyDescent="0.2">
      <c r="B1227" s="279"/>
    </row>
    <row r="1228" spans="1:2" x14ac:dyDescent="0.2">
      <c r="B1228" s="279"/>
    </row>
    <row r="1229" spans="1:2" x14ac:dyDescent="0.2">
      <c r="B1229" s="279"/>
    </row>
    <row r="1230" spans="1:2" x14ac:dyDescent="0.2">
      <c r="A1230" s="278"/>
    </row>
    <row r="1231" spans="1:2" x14ac:dyDescent="0.2">
      <c r="A1231" s="278"/>
      <c r="B1231" s="279"/>
    </row>
    <row r="1232" spans="1:2" x14ac:dyDescent="0.2">
      <c r="A1232" s="278"/>
      <c r="B1232" s="279"/>
    </row>
    <row r="1233" spans="1:2" x14ac:dyDescent="0.2">
      <c r="A1233" s="278"/>
      <c r="B1233" s="279"/>
    </row>
    <row r="1234" spans="1:2" x14ac:dyDescent="0.2">
      <c r="A1234" s="278"/>
      <c r="B1234" s="279"/>
    </row>
    <row r="1235" spans="1:2" x14ac:dyDescent="0.2">
      <c r="A1235" s="278"/>
      <c r="B1235" s="279"/>
    </row>
    <row r="1236" spans="1:2" x14ac:dyDescent="0.2">
      <c r="A1236" s="278"/>
      <c r="B1236" s="279"/>
    </row>
    <row r="1237" spans="1:2" x14ac:dyDescent="0.2">
      <c r="A1237" s="278"/>
      <c r="B1237" s="279"/>
    </row>
    <row r="1238" spans="1:2" x14ac:dyDescent="0.2">
      <c r="A1238" s="278"/>
      <c r="B1238" s="279"/>
    </row>
    <row r="1239" spans="1:2" x14ac:dyDescent="0.2">
      <c r="A1239" s="278"/>
      <c r="B1239" s="279"/>
    </row>
    <row r="1240" spans="1:2" x14ac:dyDescent="0.2">
      <c r="A1240" s="278"/>
      <c r="B1240" s="279"/>
    </row>
    <row r="1241" spans="1:2" x14ac:dyDescent="0.2">
      <c r="A1241" s="278"/>
      <c r="B1241" s="279"/>
    </row>
    <row r="1242" spans="1:2" x14ac:dyDescent="0.2">
      <c r="A1242" s="278"/>
      <c r="B1242" s="279"/>
    </row>
    <row r="1243" spans="1:2" x14ac:dyDescent="0.2">
      <c r="A1243" s="278"/>
      <c r="B1243" s="279"/>
    </row>
    <row r="1244" spans="1:2" x14ac:dyDescent="0.2">
      <c r="A1244" s="278"/>
      <c r="B1244" s="279"/>
    </row>
    <row r="1245" spans="1:2" x14ac:dyDescent="0.2">
      <c r="A1245" s="278"/>
      <c r="B1245" s="279"/>
    </row>
    <row r="1246" spans="1:2" x14ac:dyDescent="0.2">
      <c r="A1246" s="278"/>
      <c r="B1246" s="279"/>
    </row>
    <row r="1247" spans="1:2" x14ac:dyDescent="0.2">
      <c r="A1247" s="278"/>
      <c r="B1247" s="279"/>
    </row>
    <row r="1248" spans="1:2" x14ac:dyDescent="0.2">
      <c r="A1248" s="278"/>
      <c r="B1248" s="279"/>
    </row>
    <row r="1249" spans="1:2" x14ac:dyDescent="0.2">
      <c r="A1249" s="278"/>
      <c r="B1249" s="279"/>
    </row>
    <row r="1250" spans="1:2" x14ac:dyDescent="0.2">
      <c r="A1250" s="278"/>
      <c r="B1250" s="279"/>
    </row>
    <row r="1251" spans="1:2" x14ac:dyDescent="0.2">
      <c r="A1251" s="278"/>
      <c r="B1251" s="279"/>
    </row>
    <row r="1252" spans="1:2" x14ac:dyDescent="0.2">
      <c r="A1252" s="278"/>
      <c r="B1252" s="279"/>
    </row>
    <row r="1253" spans="1:2" x14ac:dyDescent="0.2">
      <c r="A1253" s="278"/>
      <c r="B1253" s="279"/>
    </row>
    <row r="1254" spans="1:2" x14ac:dyDescent="0.2">
      <c r="A1254" s="278"/>
      <c r="B1254" s="279"/>
    </row>
    <row r="1255" spans="1:2" x14ac:dyDescent="0.2">
      <c r="A1255" s="278"/>
      <c r="B1255" s="279"/>
    </row>
    <row r="1256" spans="1:2" x14ac:dyDescent="0.2">
      <c r="A1256" s="278"/>
      <c r="B1256" s="279"/>
    </row>
    <row r="1257" spans="1:2" x14ac:dyDescent="0.2">
      <c r="A1257" s="278"/>
      <c r="B1257" s="279"/>
    </row>
    <row r="1258" spans="1:2" x14ac:dyDescent="0.2">
      <c r="A1258" s="278"/>
      <c r="B1258" s="279"/>
    </row>
    <row r="1259" spans="1:2" x14ac:dyDescent="0.2">
      <c r="A1259" s="278"/>
      <c r="B1259" s="279"/>
    </row>
    <row r="1260" spans="1:2" x14ac:dyDescent="0.2">
      <c r="A1260" s="278"/>
      <c r="B1260" s="279"/>
    </row>
    <row r="1261" spans="1:2" x14ac:dyDescent="0.2">
      <c r="B1261" s="279"/>
    </row>
    <row r="1262" spans="1:2" x14ac:dyDescent="0.2">
      <c r="B1262" s="279"/>
    </row>
    <row r="1263" spans="1:2" x14ac:dyDescent="0.2">
      <c r="B1263" s="279"/>
    </row>
    <row r="1264" spans="1:2" x14ac:dyDescent="0.2">
      <c r="B1264" s="279"/>
    </row>
    <row r="1265" spans="1:2" x14ac:dyDescent="0.2">
      <c r="A1265" s="278"/>
      <c r="B1265" s="279"/>
    </row>
    <row r="1266" spans="1:2" x14ac:dyDescent="0.2">
      <c r="A1266" s="278"/>
      <c r="B1266" s="279"/>
    </row>
    <row r="1267" spans="1:2" x14ac:dyDescent="0.2">
      <c r="A1267" s="278"/>
      <c r="B1267" s="279"/>
    </row>
    <row r="1268" spans="1:2" x14ac:dyDescent="0.2">
      <c r="A1268" s="278"/>
      <c r="B1268" s="279"/>
    </row>
    <row r="1269" spans="1:2" x14ac:dyDescent="0.2">
      <c r="A1269" s="278"/>
      <c r="B1269" s="279"/>
    </row>
    <row r="1270" spans="1:2" x14ac:dyDescent="0.2">
      <c r="A1270" s="278"/>
      <c r="B1270" s="279"/>
    </row>
    <row r="1271" spans="1:2" x14ac:dyDescent="0.2">
      <c r="A1271" s="278"/>
      <c r="B1271" s="279"/>
    </row>
    <row r="1272" spans="1:2" x14ac:dyDescent="0.2">
      <c r="A1272" s="278"/>
      <c r="B1272" s="279"/>
    </row>
    <row r="1273" spans="1:2" x14ac:dyDescent="0.2">
      <c r="A1273" s="278"/>
      <c r="B1273" s="279"/>
    </row>
    <row r="1274" spans="1:2" x14ac:dyDescent="0.2">
      <c r="A1274" s="278"/>
      <c r="B1274" s="279"/>
    </row>
    <row r="1275" spans="1:2" x14ac:dyDescent="0.2">
      <c r="A1275" s="278"/>
      <c r="B1275" s="279"/>
    </row>
    <row r="1276" spans="1:2" x14ac:dyDescent="0.2">
      <c r="A1276" s="278"/>
      <c r="B1276" s="279"/>
    </row>
    <row r="1277" spans="1:2" x14ac:dyDescent="0.2">
      <c r="A1277" s="278"/>
      <c r="B1277" s="279"/>
    </row>
    <row r="1278" spans="1:2" x14ac:dyDescent="0.2">
      <c r="A1278" s="278"/>
      <c r="B1278" s="279"/>
    </row>
    <row r="1279" spans="1:2" x14ac:dyDescent="0.2">
      <c r="A1279" s="278"/>
      <c r="B1279" s="279"/>
    </row>
    <row r="1280" spans="1:2" x14ac:dyDescent="0.2">
      <c r="A1280" s="278"/>
      <c r="B1280" s="279"/>
    </row>
    <row r="1281" spans="1:2" x14ac:dyDescent="0.2">
      <c r="A1281" s="278"/>
      <c r="B1281" s="279"/>
    </row>
    <row r="1414" spans="1:1" x14ac:dyDescent="0.2">
      <c r="A1414" s="281"/>
    </row>
    <row r="1445" spans="1:1" x14ac:dyDescent="0.2">
      <c r="A1445" s="276"/>
    </row>
    <row r="1446" spans="1:1" x14ac:dyDescent="0.2">
      <c r="A1446" s="276"/>
    </row>
    <row r="1447" spans="1:1" x14ac:dyDescent="0.2">
      <c r="A1447" s="276"/>
    </row>
  </sheetData>
  <mergeCells count="25">
    <mergeCell ref="AG3:AH3"/>
    <mergeCell ref="AG4:AH4"/>
    <mergeCell ref="AG7:AH7"/>
    <mergeCell ref="AG6:AH6"/>
    <mergeCell ref="AG5:AH5"/>
    <mergeCell ref="AG10:AH10"/>
    <mergeCell ref="AG9:AH9"/>
    <mergeCell ref="AG11:AH11"/>
    <mergeCell ref="B5:C5"/>
    <mergeCell ref="AG8:AH8"/>
    <mergeCell ref="F27:G27"/>
    <mergeCell ref="F31:G31"/>
    <mergeCell ref="AG36:AH36"/>
    <mergeCell ref="AG37:AH37"/>
    <mergeCell ref="AG38:AH38"/>
    <mergeCell ref="AG39:AH39"/>
    <mergeCell ref="AG24:AH24"/>
    <mergeCell ref="AG32:AH32"/>
    <mergeCell ref="AG33:AH33"/>
    <mergeCell ref="AG34:AH34"/>
    <mergeCell ref="AG35:AH35"/>
    <mergeCell ref="AG64:AH64"/>
    <mergeCell ref="AG68:AH68"/>
    <mergeCell ref="BY251:CC251"/>
    <mergeCell ref="BY238:CC238"/>
  </mergeCells>
  <phoneticPr fontId="0" type="noConversion"/>
  <conditionalFormatting sqref="I969:K974 BN1102:BT1107 BZ1137:BZ1142 CB1169:CB1174 BG1162:BI1167 BE1163:BE1168">
    <cfRule type="expression" dxfId="64" priority="11" stopIfTrue="1">
      <formula>IF(J969&gt;0,TRUE,FALSE)</formula>
    </cfRule>
  </conditionalFormatting>
  <conditionalFormatting sqref="C995:C1000">
    <cfRule type="expression" dxfId="63" priority="116" stopIfTrue="1">
      <formula>IF(#REF!&gt;0,TRUE,FALSE)</formula>
    </cfRule>
  </conditionalFormatting>
  <conditionalFormatting sqref="F923:G928">
    <cfRule type="expression" dxfId="62" priority="128" stopIfTrue="1">
      <formula>IF(H968&gt;0,TRUE,FALSE)</formula>
    </cfRule>
  </conditionalFormatting>
  <conditionalFormatting sqref="D994:D999">
    <cfRule type="expression" dxfId="61" priority="130" stopIfTrue="1">
      <formula>IF(E978&gt;0,TRUE,FALSE)</formula>
    </cfRule>
  </conditionalFormatting>
  <conditionalFormatting sqref="E978:E983">
    <cfRule type="expression" dxfId="60" priority="131" stopIfTrue="1">
      <formula>IF(F923&gt;0,TRUE,FALSE)</formula>
    </cfRule>
  </conditionalFormatting>
  <conditionalFormatting sqref="H968:H973 BD1162:BD1167">
    <cfRule type="expression" dxfId="59" priority="133" stopIfTrue="1">
      <formula>IF(I969&gt;0,TRUE,FALSE)</formula>
    </cfRule>
  </conditionalFormatting>
  <conditionalFormatting sqref="BM1090:BM1095">
    <cfRule type="expression" dxfId="58" priority="135" stopIfTrue="1">
      <formula>IF(BO1102&gt;0,TRUE,FALSE)</formula>
    </cfRule>
  </conditionalFormatting>
  <conditionalFormatting sqref="BJ1162:BJ1167">
    <cfRule type="expression" dxfId="57" priority="140" stopIfTrue="1">
      <formula>IF(BK1024&gt;0,TRUE,FALSE)</formula>
    </cfRule>
  </conditionalFormatting>
  <conditionalFormatting sqref="BB1108:BB1113">
    <cfRule type="expression" dxfId="56" priority="141" stopIfTrue="1">
      <formula>IF(BC1163&gt;0,TRUE,FALSE)</formula>
    </cfRule>
  </conditionalFormatting>
  <conditionalFormatting sqref="BU1102:BU1107">
    <cfRule type="expression" dxfId="55" priority="143" stopIfTrue="1">
      <formula>IF(BX1155&gt;0,TRUE,FALSE)</formula>
    </cfRule>
  </conditionalFormatting>
  <conditionalFormatting sqref="BY1145:BY1150">
    <cfRule type="expression" dxfId="54" priority="145" stopIfTrue="1">
      <formula>IF(BZ1137&gt;0,TRUE,FALSE)</formula>
    </cfRule>
  </conditionalFormatting>
  <conditionalFormatting sqref="BX1155:BX1160">
    <cfRule type="expression" dxfId="53" priority="146" stopIfTrue="1">
      <formula>IF(BY1145&gt;0,TRUE,FALSE)</formula>
    </cfRule>
  </conditionalFormatting>
  <conditionalFormatting sqref="CA1137:CA1142">
    <cfRule type="expression" dxfId="52" priority="147" stopIfTrue="1">
      <formula>IF(CB1169&gt;0,TRUE,FALSE)</formula>
    </cfRule>
  </conditionalFormatting>
  <conditionalFormatting sqref="BF1163:BF1168 BC1163:BC1168">
    <cfRule type="expression" dxfId="51" priority="149" stopIfTrue="1">
      <formula>IF(BD1162&gt;0,TRUE,FALSE)</formula>
    </cfRule>
  </conditionalFormatting>
  <conditionalFormatting sqref="L969:L974">
    <cfRule type="expression" dxfId="50" priority="166" stopIfTrue="1">
      <formula>IF(BB1108&gt;0,TRUE,FALSE)</formula>
    </cfRule>
  </conditionalFormatting>
  <conditionalFormatting sqref="BA995:BA1000">
    <cfRule type="expression" dxfId="49" priority="193" stopIfTrue="1">
      <formula>IF(BE1142&gt;0,TRUE,FALSE)</formula>
    </cfRule>
  </conditionalFormatting>
  <conditionalFormatting sqref="AY995:AY1000">
    <cfRule type="expression" dxfId="48" priority="194" stopIfTrue="1">
      <formula>IF(BE1141&gt;0,TRUE,FALSE)</formula>
    </cfRule>
  </conditionalFormatting>
  <conditionalFormatting sqref="AM996:AM1001">
    <cfRule type="expression" dxfId="47" priority="195" stopIfTrue="1">
      <formula>IF(BD1141&gt;0,TRUE,FALSE)</formula>
    </cfRule>
  </conditionalFormatting>
  <conditionalFormatting sqref="AL1002:AL1007">
    <cfRule type="expression" dxfId="46" priority="196" stopIfTrue="1">
      <formula>IF(BD1141&gt;0,TRUE,FALSE)</formula>
    </cfRule>
  </conditionalFormatting>
  <conditionalFormatting sqref="AK1002:AK1007">
    <cfRule type="expression" dxfId="45" priority="197" stopIfTrue="1">
      <formula>IF(BD1141&gt;0,TRUE,FALSE)</formula>
    </cfRule>
  </conditionalFormatting>
  <conditionalFormatting sqref="AJ1002:AJ1007">
    <cfRule type="expression" dxfId="44" priority="198" stopIfTrue="1">
      <formula>IF(BD1141&gt;0,TRUE,FALSE)</formula>
    </cfRule>
  </conditionalFormatting>
  <conditionalFormatting sqref="AH1004:AH1009">
    <cfRule type="expression" dxfId="43" priority="199" stopIfTrue="1">
      <formula>IF(BD1141&gt;0,TRUE,FALSE)</formula>
    </cfRule>
  </conditionalFormatting>
  <conditionalFormatting sqref="AG1004:AG1009">
    <cfRule type="expression" dxfId="42" priority="200" stopIfTrue="1">
      <formula>IF(BD1141&gt;0,TRUE,FALSE)</formula>
    </cfRule>
  </conditionalFormatting>
  <conditionalFormatting sqref="AF1004:AF1009">
    <cfRule type="expression" dxfId="41" priority="201" stopIfTrue="1">
      <formula>IF(BD1141&gt;0,TRUE,FALSE)</formula>
    </cfRule>
  </conditionalFormatting>
  <conditionalFormatting sqref="AE1004:AE1009">
    <cfRule type="expression" dxfId="40" priority="202" stopIfTrue="1">
      <formula>IF(BD1141&gt;0,TRUE,FALSE)</formula>
    </cfRule>
  </conditionalFormatting>
  <conditionalFormatting sqref="AD1004:AD1009">
    <cfRule type="expression" dxfId="39" priority="203" stopIfTrue="1">
      <formula>IF(BD1141&gt;0,TRUE,FALSE)</formula>
    </cfRule>
  </conditionalFormatting>
  <conditionalFormatting sqref="AC1004:AC1009">
    <cfRule type="expression" dxfId="38" priority="204" stopIfTrue="1">
      <formula>IF(BD1141&gt;0,TRUE,FALSE)</formula>
    </cfRule>
  </conditionalFormatting>
  <conditionalFormatting sqref="AB1002:AB1007">
    <cfRule type="expression" dxfId="37" priority="205" stopIfTrue="1">
      <formula>IF(BD1141&gt;0,TRUE,FALSE)</formula>
    </cfRule>
  </conditionalFormatting>
  <conditionalFormatting sqref="Z1002:Z1007">
    <cfRule type="expression" dxfId="36" priority="206" stopIfTrue="1">
      <formula>IF(BD1141&gt;0,TRUE,FALSE)</formula>
    </cfRule>
  </conditionalFormatting>
  <conditionalFormatting sqref="Y1002:Y1007">
    <cfRule type="expression" dxfId="35" priority="207" stopIfTrue="1">
      <formula>IF(BD1141&gt;0,TRUE,FALSE)</formula>
    </cfRule>
  </conditionalFormatting>
  <conditionalFormatting sqref="X1002:X1007">
    <cfRule type="expression" dxfId="34" priority="208" stopIfTrue="1">
      <formula>IF(BD1141&gt;0,TRUE,FALSE)</formula>
    </cfRule>
  </conditionalFormatting>
  <conditionalFormatting sqref="W986:W991">
    <cfRule type="expression" dxfId="33" priority="209" stopIfTrue="1">
      <formula>IF(BD1141&gt;0,TRUE,FALSE)</formula>
    </cfRule>
  </conditionalFormatting>
  <conditionalFormatting sqref="V986:V991">
    <cfRule type="expression" dxfId="32" priority="210" stopIfTrue="1">
      <formula>IF(BD1141&gt;0,TRUE,FALSE)</formula>
    </cfRule>
  </conditionalFormatting>
  <conditionalFormatting sqref="U986:U991">
    <cfRule type="expression" dxfId="31" priority="211" stopIfTrue="1">
      <formula>IF(BD1141&gt;0,TRUE,FALSE)</formula>
    </cfRule>
  </conditionalFormatting>
  <conditionalFormatting sqref="T986:T991">
    <cfRule type="expression" dxfId="30" priority="212" stopIfTrue="1">
      <formula>IF(BD1141&gt;0,TRUE,FALSE)</formula>
    </cfRule>
  </conditionalFormatting>
  <conditionalFormatting sqref="S990:S995">
    <cfRule type="expression" dxfId="29" priority="213" stopIfTrue="1">
      <formula>IF(BD1141&gt;0,TRUE,FALSE)</formula>
    </cfRule>
  </conditionalFormatting>
  <conditionalFormatting sqref="R990:R995">
    <cfRule type="expression" dxfId="28" priority="214" stopIfTrue="1">
      <formula>IF(BD1141&gt;0,TRUE,FALSE)</formula>
    </cfRule>
  </conditionalFormatting>
  <conditionalFormatting sqref="Q990:Q995">
    <cfRule type="expression" dxfId="27" priority="215" stopIfTrue="1">
      <formula>IF(BD1141&gt;0,TRUE,FALSE)</formula>
    </cfRule>
  </conditionalFormatting>
  <conditionalFormatting sqref="P990:P995">
    <cfRule type="expression" dxfId="26" priority="216" stopIfTrue="1">
      <formula>IF(BD1141&gt;0,TRUE,FALSE)</formula>
    </cfRule>
  </conditionalFormatting>
  <conditionalFormatting sqref="O990:O995">
    <cfRule type="expression" dxfId="25" priority="217" stopIfTrue="1">
      <formula>IF(BD1141&gt;0,TRUE,FALSE)</formula>
    </cfRule>
  </conditionalFormatting>
  <conditionalFormatting sqref="N1011:N1016">
    <cfRule type="expression" dxfId="24" priority="218" stopIfTrue="1">
      <formula>IF(BD1141&gt;0,TRUE,FALSE)</formula>
    </cfRule>
  </conditionalFormatting>
  <conditionalFormatting sqref="M969:M974">
    <cfRule type="expression" dxfId="23" priority="221" stopIfTrue="1">
      <formula>IF(BC1142&gt;0,TRUE,FALSE)</formula>
    </cfRule>
  </conditionalFormatting>
  <conditionalFormatting sqref="BW1065:BW1070">
    <cfRule type="expression" dxfId="22" priority="225" stopIfTrue="1">
      <formula>IF(BZ1169&gt;0,TRUE,FALSE)</formula>
    </cfRule>
  </conditionalFormatting>
  <conditionalFormatting sqref="BL998:BL1003">
    <cfRule type="expression" dxfId="21" priority="227" stopIfTrue="1">
      <formula>IF(BO1102&gt;0,TRUE,FALSE)</formula>
    </cfRule>
  </conditionalFormatting>
  <conditionalFormatting sqref="AZ989:AZ994">
    <cfRule type="expression" dxfId="20" priority="266" stopIfTrue="1">
      <formula>IF(BD1141&gt;0,TRUE,FALSE)</formula>
    </cfRule>
  </conditionalFormatting>
  <conditionalFormatting sqref="BK1024:BK1029">
    <cfRule type="expression" dxfId="19" priority="269" stopIfTrue="1">
      <formula>IF(BN1102&gt;0,TRUE,FALSE)</formula>
    </cfRule>
  </conditionalFormatting>
  <conditionalFormatting sqref="BV1065:BV1070">
    <cfRule type="expression" dxfId="18" priority="271" stopIfTrue="1">
      <formula>IF(BY1169&gt;0,TRUE,FALSE)</formula>
    </cfRule>
  </conditionalFormatting>
  <conditionalFormatting sqref="AI1004:AI1009">
    <cfRule type="expression" dxfId="17" priority="307" stopIfTrue="1">
      <formula>IF(BE1142&gt;0,TRUE,FALSE)</formula>
    </cfRule>
  </conditionalFormatting>
  <conditionalFormatting sqref="AA1002:AA1007">
    <cfRule type="expression" dxfId="16" priority="309" stopIfTrue="1">
      <formula>IF(BE1142&gt;0,TRUE,FALSE)</formula>
    </cfRule>
  </conditionalFormatting>
  <conditionalFormatting sqref="AX995:AX1000">
    <cfRule type="expression" dxfId="15" priority="398" stopIfTrue="1">
      <formula>IF(BE1141&gt;0,TRUE,FALSE)</formula>
    </cfRule>
  </conditionalFormatting>
  <conditionalFormatting sqref="AW995:AW1000">
    <cfRule type="expression" dxfId="14" priority="411" stopIfTrue="1">
      <formula>IF(BE1141&gt;0,TRUE,FALSE)</formula>
    </cfRule>
  </conditionalFormatting>
  <conditionalFormatting sqref="AV995:AV1000">
    <cfRule type="expression" dxfId="13" priority="424" stopIfTrue="1">
      <formula>IF(BE1141&gt;0,TRUE,FALSE)</formula>
    </cfRule>
  </conditionalFormatting>
  <conditionalFormatting sqref="AU995:AU1000">
    <cfRule type="expression" dxfId="12" priority="437" stopIfTrue="1">
      <formula>IF(BE1141&gt;0,TRUE,FALSE)</formula>
    </cfRule>
  </conditionalFormatting>
  <conditionalFormatting sqref="AT995:AT1000">
    <cfRule type="expression" dxfId="11" priority="450" stopIfTrue="1">
      <formula>IF(BE1141&gt;0,TRUE,FALSE)</formula>
    </cfRule>
  </conditionalFormatting>
  <conditionalFormatting sqref="AS995:AS1000">
    <cfRule type="expression" dxfId="10" priority="463" stopIfTrue="1">
      <formula>IF(BE1141&gt;0,TRUE,FALSE)</formula>
    </cfRule>
  </conditionalFormatting>
  <conditionalFormatting sqref="AR995:AR1000">
    <cfRule type="expression" dxfId="9" priority="476" stopIfTrue="1">
      <formula>IF(BE1141&gt;0,TRUE,FALSE)</formula>
    </cfRule>
  </conditionalFormatting>
  <conditionalFormatting sqref="AQ995:AQ1000">
    <cfRule type="expression" dxfId="8" priority="489" stopIfTrue="1">
      <formula>IF(BE1141&gt;0,TRUE,FALSE)</formula>
    </cfRule>
  </conditionalFormatting>
  <conditionalFormatting sqref="AP995:AP1000">
    <cfRule type="expression" dxfId="7" priority="502" stopIfTrue="1">
      <formula>IF(BE1141&gt;0,TRUE,FALSE)</formula>
    </cfRule>
  </conditionalFormatting>
  <conditionalFormatting sqref="AN996:AN1001">
    <cfRule type="expression" dxfId="6" priority="515" stopIfTrue="1">
      <formula>IF(BD1141&gt;0,TRUE,FALSE)</formula>
    </cfRule>
  </conditionalFormatting>
  <conditionalFormatting sqref="AO995:AO1000">
    <cfRule type="expression" dxfId="5" priority="685" stopIfTrue="1">
      <formula>IF(BE1141&gt;0,TRUE,FALSE)</formula>
    </cfRule>
  </conditionalFormatting>
  <conditionalFormatting sqref="CC1169:CC1174">
    <cfRule type="expression" dxfId="4" priority="712" stopIfTrue="1">
      <formula>IF(#REF!&gt;0,TRUE,FALSE)</formula>
    </cfRule>
  </conditionalFormatting>
  <conditionalFormatting sqref="CH1131:CH1136">
    <cfRule type="expression" dxfId="3" priority="713" stopIfTrue="1">
      <formula>IF(#REF!&gt;0,TRUE,FALSE)</formula>
    </cfRule>
  </conditionalFormatting>
  <conditionalFormatting sqref="CG1169:CG1174">
    <cfRule type="expression" dxfId="2" priority="714" stopIfTrue="1">
      <formula>IF(#REF!&gt;0,TRUE,FALSE)</formula>
    </cfRule>
  </conditionalFormatting>
  <conditionalFormatting sqref="CF1169:CF1174">
    <cfRule type="expression" dxfId="1" priority="715" stopIfTrue="1">
      <formula>IF(#REF!&gt;0,TRUE,FALSE)</formula>
    </cfRule>
  </conditionalFormatting>
  <conditionalFormatting sqref="CD1169:CE1174">
    <cfRule type="expression" dxfId="0" priority="716" stopIfTrue="1">
      <formula>IF(#REF!&gt;0,TRUE,FALSE)</formula>
    </cfRule>
  </conditionalFormatting>
  <pageMargins left="0.78740157499999996" right="0.78740157499999996" top="0.984251969" bottom="0.984251969" header="0.4921259845" footer="0.4921259845"/>
  <pageSetup paperSize="9" orientation="portrait" horizontalDpi="300" verticalDpi="300" r:id="rId1"/>
  <headerFooter alignWithMargins="0"/>
  <ignoredErrors>
    <ignoredError sqref="P91:W92 P93:W104" calculatedColumn="1"/>
  </ignoredErrors>
  <drawing r:id="rId2"/>
  <tableParts count="19">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1058</vt:i4>
      </vt:variant>
    </vt:vector>
  </HeadingPairs>
  <TitlesOfParts>
    <vt:vector size="1061" baseType="lpstr">
      <vt:lpstr>animaux</vt:lpstr>
      <vt:lpstr>coût alimentation</vt:lpstr>
      <vt:lpstr>BDD</vt:lpstr>
      <vt:lpstr>AlimentsBisons</vt:lpstr>
      <vt:lpstr>AlimentsBovins</vt:lpstr>
      <vt:lpstr>AlimentsCaprins</vt:lpstr>
      <vt:lpstr>AlimentsRationBovinsFemelles</vt:lpstr>
      <vt:lpstr>AlimentsRationBovinsMâles</vt:lpstr>
      <vt:lpstr>AlimentsRationCaprinsFemelles</vt:lpstr>
      <vt:lpstr>AlimentsRationCaprinsMâles</vt:lpstr>
      <vt:lpstr>AlimentsRationHivernaleBisonsFemelles</vt:lpstr>
      <vt:lpstr>AlimentsRationHivernaleBisonsMâles</vt:lpstr>
      <vt:lpstr>AlimentsRationHivernaleBovins</vt:lpstr>
      <vt:lpstr>Avoine</vt:lpstr>
      <vt:lpstr>AvoineNécessaireBQ</vt:lpstr>
      <vt:lpstr>AvoineNécessaireMaQ</vt:lpstr>
      <vt:lpstr>AvoineNécessaireMoQ</vt:lpstr>
      <vt:lpstr>Belgique</vt:lpstr>
      <vt:lpstr>Betterave</vt:lpstr>
      <vt:lpstr>BetteraveNécessaireBQ</vt:lpstr>
      <vt:lpstr>BetteraveNécessaireMaQ</vt:lpstr>
      <vt:lpstr>BetteraveNécessaireMoQ</vt:lpstr>
      <vt:lpstr>Blé</vt:lpstr>
      <vt:lpstr>BléNécessaireBQ</vt:lpstr>
      <vt:lpstr>BléNécessaireMaQ</vt:lpstr>
      <vt:lpstr>BléNécessaireMoQ</vt:lpstr>
      <vt:lpstr>BONNE</vt:lpstr>
      <vt:lpstr>BouchonsLuzerne</vt:lpstr>
      <vt:lpstr>BouchonsLuzerneNécessaireBQ</vt:lpstr>
      <vt:lpstr>BouchonsLuzerneNécessaireMaQ</vt:lpstr>
      <vt:lpstr>BouchonsLuzerneNécessaireMoQ</vt:lpstr>
      <vt:lpstr>BovinsAuPré</vt:lpstr>
      <vt:lpstr>CANADA</vt:lpstr>
      <vt:lpstr>caneton_femelle_0_3_mois</vt:lpstr>
      <vt:lpstr>caneton_mâle_0_3_mois</vt:lpstr>
      <vt:lpstr>Canola</vt:lpstr>
      <vt:lpstr>CanolaNécessaireBQ</vt:lpstr>
      <vt:lpstr>CanolaNécessaireMaQ</vt:lpstr>
      <vt:lpstr>CanolaNécessaireMoQ</vt:lpstr>
      <vt:lpstr>chevreau_0_3_mois</vt:lpstr>
      <vt:lpstr>chevreau_3_6_mois</vt:lpstr>
      <vt:lpstr>chevrette_0_3_mois</vt:lpstr>
      <vt:lpstr>chevrette_3_6_mois</vt:lpstr>
      <vt:lpstr>ChoixBovinsPréEté</vt:lpstr>
      <vt:lpstr>ChoixBovinsPréHiver</vt:lpstr>
      <vt:lpstr>ChoixCaprinsPréEté</vt:lpstr>
      <vt:lpstr>ChoixChevauxSellePréEté</vt:lpstr>
      <vt:lpstr>ChoixChevauxSellePréHiver</vt:lpstr>
      <vt:lpstr>ChoixChevauxTraitPréEté</vt:lpstr>
      <vt:lpstr>ChoixChevauxTraitPréHiver</vt:lpstr>
      <vt:lpstr>ChoixElevageBovins</vt:lpstr>
      <vt:lpstr>ChoixElevageLapins</vt:lpstr>
      <vt:lpstr>ChoixElevagePintades</vt:lpstr>
      <vt:lpstr>ChoixElevagePorcins</vt:lpstr>
      <vt:lpstr>ChoixElevageVolailles</vt:lpstr>
      <vt:lpstr>ChoixOvinsPréEté</vt:lpstr>
      <vt:lpstr>ChoixOvinsPréHiver</vt:lpstr>
      <vt:lpstr>ChoixPaillageBovins</vt:lpstr>
      <vt:lpstr>ChoixPaillageCanards</vt:lpstr>
      <vt:lpstr>ChoixPaillageCaprins</vt:lpstr>
      <vt:lpstr>ChoixPaillageChevauxSelle</vt:lpstr>
      <vt:lpstr>ChoixPaillageChevauxTrait</vt:lpstr>
      <vt:lpstr>ChoixPaillageLapins</vt:lpstr>
      <vt:lpstr>ChoixPaillageOies</vt:lpstr>
      <vt:lpstr>ChoixPaillageOiesFoieGras</vt:lpstr>
      <vt:lpstr>ChoixPaillageOvins</vt:lpstr>
      <vt:lpstr>ChoixPaillagePintades</vt:lpstr>
      <vt:lpstr>ChoixPaillagePoneys</vt:lpstr>
      <vt:lpstr>ChoixPaillagePorcins</vt:lpstr>
      <vt:lpstr>ChoixPaillageVolailles</vt:lpstr>
      <vt:lpstr>ChoixPaysPartie</vt:lpstr>
      <vt:lpstr>ChoixPoneysPréEté</vt:lpstr>
      <vt:lpstr>ChoixPoneysPréHiver</vt:lpstr>
      <vt:lpstr>ChoixRationBisons</vt:lpstr>
      <vt:lpstr>ChoixRationBovins</vt:lpstr>
      <vt:lpstr>ChoixRationCanards</vt:lpstr>
      <vt:lpstr>ChoixRationCaprins</vt:lpstr>
      <vt:lpstr>ChoixRationComplèteBisons</vt:lpstr>
      <vt:lpstr>ChoixRationComplèteBovins</vt:lpstr>
      <vt:lpstr>ChoixRationComplèteCanards</vt:lpstr>
      <vt:lpstr>ChoixRationComplèteCaprins</vt:lpstr>
      <vt:lpstr>ChoixRationComplèteDaims</vt:lpstr>
      <vt:lpstr>ChoixRationComplèteEtéChevauxSelle</vt:lpstr>
      <vt:lpstr>ChoixRationComplèteEtéChevauxTrait</vt:lpstr>
      <vt:lpstr>ChoixRationComplèteEtéPoneys</vt:lpstr>
      <vt:lpstr>ChoixRationComplèteFoieGrasCanards</vt:lpstr>
      <vt:lpstr>ChoixRationComplèteFoieGrasOies</vt:lpstr>
      <vt:lpstr>ChoixRationComplèteLapins</vt:lpstr>
      <vt:lpstr>ChoixRationComplèteOies</vt:lpstr>
      <vt:lpstr>ChoixRationComplèteOvins</vt:lpstr>
      <vt:lpstr>ChoixRationComplètePintades</vt:lpstr>
      <vt:lpstr>ChoixRationComplètePorcins</vt:lpstr>
      <vt:lpstr>ChoixRationComplètePoules</vt:lpstr>
      <vt:lpstr>ChoixRationDaims</vt:lpstr>
      <vt:lpstr>ChoixRationFoieGrasCanards</vt:lpstr>
      <vt:lpstr>ChoixRationFoieGrasOies</vt:lpstr>
      <vt:lpstr>ChoixRationHivernaleComplèteBovins</vt:lpstr>
      <vt:lpstr>ChoixRationHivernaleComplèteChevauxSelle</vt:lpstr>
      <vt:lpstr>ChoixRationHivernaleComplèteChevauxTrait</vt:lpstr>
      <vt:lpstr>ChoixRationHivernaleComplètePoneys</vt:lpstr>
      <vt:lpstr>ChoixRationHivernaleOvinsComplète</vt:lpstr>
      <vt:lpstr>ChoixRationLapins</vt:lpstr>
      <vt:lpstr>ChoixRationOies</vt:lpstr>
      <vt:lpstr>ChoixRationOvins</vt:lpstr>
      <vt:lpstr>ChoixRationPintades</vt:lpstr>
      <vt:lpstr>ChoixRationPorcins</vt:lpstr>
      <vt:lpstr>ChoixRationVolailles</vt:lpstr>
      <vt:lpstr>ChoixSpécificité1Bisons</vt:lpstr>
      <vt:lpstr>ChoixSpécificité1FoieGrasCanards</vt:lpstr>
      <vt:lpstr>ChoixSpécificité1FoieGrasOies</vt:lpstr>
      <vt:lpstr>ChoixSpécificité2Bisons</vt:lpstr>
      <vt:lpstr>ChoixSpécificité2FoieGrasOies</vt:lpstr>
      <vt:lpstr>ChoixVaccinBisons</vt:lpstr>
      <vt:lpstr>ChoixVaccinBovins</vt:lpstr>
      <vt:lpstr>ChoixVaccinCanards</vt:lpstr>
      <vt:lpstr>ChoixVaccinCaprins</vt:lpstr>
      <vt:lpstr>ChoixVaccinChevauxSelle</vt:lpstr>
      <vt:lpstr>ChoixVaccinChevauxTrait</vt:lpstr>
      <vt:lpstr>ChoixVaccinDaims</vt:lpstr>
      <vt:lpstr>ChoixVaccinLapins</vt:lpstr>
      <vt:lpstr>ChoixVaccinOies</vt:lpstr>
      <vt:lpstr>ChoixVaccinOiesFoieGras</vt:lpstr>
      <vt:lpstr>ChoixVaccinOvins</vt:lpstr>
      <vt:lpstr>ChoixVaccinPintades</vt:lpstr>
      <vt:lpstr>ChoixVaccinPoneys</vt:lpstr>
      <vt:lpstr>ChoixVaccinPorcins</vt:lpstr>
      <vt:lpstr>ChoixVaccinVolailles</vt:lpstr>
      <vt:lpstr>CliquesIci</vt:lpstr>
      <vt:lpstr>Colza</vt:lpstr>
      <vt:lpstr>ColzaNécessaireBQ</vt:lpstr>
      <vt:lpstr>ColzaNécessaireMaQ</vt:lpstr>
      <vt:lpstr>ColzaNécessaireMoQ</vt:lpstr>
      <vt:lpstr>CommandeAvoineBQ</vt:lpstr>
      <vt:lpstr>CommandeAvoineMaQ</vt:lpstr>
      <vt:lpstr>CommandeAvoineMoQ</vt:lpstr>
      <vt:lpstr>CommandeBetteraveBQ</vt:lpstr>
      <vt:lpstr>CommandeBetteraveMaQ</vt:lpstr>
      <vt:lpstr>CommandeBetteraveMoQ</vt:lpstr>
      <vt:lpstr>CommandeBléBQ</vt:lpstr>
      <vt:lpstr>CommandeBléMaQ</vt:lpstr>
      <vt:lpstr>CommandeBléMoQ</vt:lpstr>
      <vt:lpstr>CommandeBouchonLuzerneBQ</vt:lpstr>
      <vt:lpstr>CommandeBouchonLuzerneMaQ</vt:lpstr>
      <vt:lpstr>CommandeBouchonLuzerneMoQ</vt:lpstr>
      <vt:lpstr>CommandeCanolaBQ</vt:lpstr>
      <vt:lpstr>CommandeCanolaMaQ</vt:lpstr>
      <vt:lpstr>CommandeCanolaMoQ</vt:lpstr>
      <vt:lpstr>CommandeColzaBQ</vt:lpstr>
      <vt:lpstr>CommandeColzaMaQ</vt:lpstr>
      <vt:lpstr>CommandeColzaMoQ</vt:lpstr>
      <vt:lpstr>CommandeConcentréBovinsBQ</vt:lpstr>
      <vt:lpstr>CommandeConcentréBovinsMaQ</vt:lpstr>
      <vt:lpstr>CommandeConcentréBovinsMoQ</vt:lpstr>
      <vt:lpstr>CommandeConcentréLapinsBQ</vt:lpstr>
      <vt:lpstr>CommandeConcentréLapinsMaQ</vt:lpstr>
      <vt:lpstr>CommandeConcentréLapinsMoQ</vt:lpstr>
      <vt:lpstr>CommandeConcentréPorcinsBQ</vt:lpstr>
      <vt:lpstr>CommandeConcentréPorcinsMaQ</vt:lpstr>
      <vt:lpstr>CommandeConcentréPorcinsMoQ</vt:lpstr>
      <vt:lpstr>CommandeEau</vt:lpstr>
      <vt:lpstr>CommandeEnsilageHerbeBQ</vt:lpstr>
      <vt:lpstr>CommandeEnsilageHerbeMaQ</vt:lpstr>
      <vt:lpstr>CommandeEnsilageHerbeMoQ</vt:lpstr>
      <vt:lpstr>CommandeFeveroleBQ</vt:lpstr>
      <vt:lpstr>CommandeFeveroleMaQ</vt:lpstr>
      <vt:lpstr>CommandeFeveroleMoQ</vt:lpstr>
      <vt:lpstr>CommandeFoinBQ</vt:lpstr>
      <vt:lpstr>CommandeFoinMaQ</vt:lpstr>
      <vt:lpstr>CommandeFoinMoQ</vt:lpstr>
      <vt:lpstr>CommandeMaïsEnsiléBQ</vt:lpstr>
      <vt:lpstr>CommandeMaïsEnsiléMaQ</vt:lpstr>
      <vt:lpstr>CommandeMaïsEnsiléMoQ</vt:lpstr>
      <vt:lpstr>CommandeMaïsGrainBQ</vt:lpstr>
      <vt:lpstr>CommandeMaïsGrainMaQ</vt:lpstr>
      <vt:lpstr>CommandeMaïsGrainMoQ</vt:lpstr>
      <vt:lpstr>CommandeMinérauxBQ</vt:lpstr>
      <vt:lpstr>CommandeMinérauxMaQ</vt:lpstr>
      <vt:lpstr>CommandeMinérauxMoQ</vt:lpstr>
      <vt:lpstr>CommandeOrgeBQ</vt:lpstr>
      <vt:lpstr>CommandeOrgeMaQ</vt:lpstr>
      <vt:lpstr>CommandeOrgeMoQ</vt:lpstr>
      <vt:lpstr>CommandePailleBQ</vt:lpstr>
      <vt:lpstr>CommandePailleMaQ</vt:lpstr>
      <vt:lpstr>CommandePailleMoQ</vt:lpstr>
      <vt:lpstr>CommandePoisBQ</vt:lpstr>
      <vt:lpstr>CommandePoisMaQ</vt:lpstr>
      <vt:lpstr>CommandePoisMoQ</vt:lpstr>
      <vt:lpstr>CommandeRationBisonsBQ</vt:lpstr>
      <vt:lpstr>CommandeRationBisonsMaQ</vt:lpstr>
      <vt:lpstr>CommandeRationBisonsMoQ</vt:lpstr>
      <vt:lpstr>CommandeRationBovinBQ</vt:lpstr>
      <vt:lpstr>CommandeRationBovinMaQ</vt:lpstr>
      <vt:lpstr>CommandeRationBovinMoQ</vt:lpstr>
      <vt:lpstr>CommandeRationCanardBQ</vt:lpstr>
      <vt:lpstr>CommandeRationCanardMaQ</vt:lpstr>
      <vt:lpstr>CommandeRationCanardMoQ</vt:lpstr>
      <vt:lpstr>CommandeRationCaprinsBQ</vt:lpstr>
      <vt:lpstr>CommandeRationCaprinsMaQ</vt:lpstr>
      <vt:lpstr>CommandeRationCaprinsMoQ</vt:lpstr>
      <vt:lpstr>CommandeRationChevauxSelleBQ</vt:lpstr>
      <vt:lpstr>CommandeRationChevauxSelleMaQ</vt:lpstr>
      <vt:lpstr>CommandeRationChevauxSelleMoQ</vt:lpstr>
      <vt:lpstr>CommandeRationChevauxTraitBQ</vt:lpstr>
      <vt:lpstr>CommandeRationChevauxTraitMaQ</vt:lpstr>
      <vt:lpstr>CommandeRationChevauxTraitMoQ</vt:lpstr>
      <vt:lpstr>CommandeRationDaimsBQ</vt:lpstr>
      <vt:lpstr>CommandeRationDaimsMaQ</vt:lpstr>
      <vt:lpstr>CommandeRationDaimsMoQ</vt:lpstr>
      <vt:lpstr>CommandeRationHiverBovinBQ</vt:lpstr>
      <vt:lpstr>CommandeRationHiverBovinMaQ</vt:lpstr>
      <vt:lpstr>CommandeRationHiverBovinMoQ</vt:lpstr>
      <vt:lpstr>CommandeRationHiverOvinBQ</vt:lpstr>
      <vt:lpstr>CommandeRationHiverOvinMaQ</vt:lpstr>
      <vt:lpstr>CommandeRationHiverOvinMoQ</vt:lpstr>
      <vt:lpstr>CommandeRationLapinBQ</vt:lpstr>
      <vt:lpstr>CommandeRationLapinMaQ</vt:lpstr>
      <vt:lpstr>CommandeRationLapinMoQ</vt:lpstr>
      <vt:lpstr>CommandeRationOieBQ</vt:lpstr>
      <vt:lpstr>CommandeRationOieMaQ</vt:lpstr>
      <vt:lpstr>CommandeRationOieMoQ</vt:lpstr>
      <vt:lpstr>CommandeRationOvinBQ</vt:lpstr>
      <vt:lpstr>CommandeRationOvinMaQ</vt:lpstr>
      <vt:lpstr>CommandeRationOvinMoQ</vt:lpstr>
      <vt:lpstr>CommandeRationPintadesBQ</vt:lpstr>
      <vt:lpstr>CommandeRationPintadesMaQ</vt:lpstr>
      <vt:lpstr>CommandeRationPintadesMoQ</vt:lpstr>
      <vt:lpstr>CommandeRationPoneysBQ</vt:lpstr>
      <vt:lpstr>CommandeRationPoneysMaQ</vt:lpstr>
      <vt:lpstr>CommandeRationPoneysMoQ</vt:lpstr>
      <vt:lpstr>CommandeRationPorcinsBQ</vt:lpstr>
      <vt:lpstr>CommandeRationPorcinsMaQ</vt:lpstr>
      <vt:lpstr>CommandeRationPorcinsMoQ</vt:lpstr>
      <vt:lpstr>CommandeRationVolaillesBQ</vt:lpstr>
      <vt:lpstr>CommandeRationVolaillesMaQ</vt:lpstr>
      <vt:lpstr>CommandeRationVolaillesMoQ</vt:lpstr>
      <vt:lpstr>CommandeSeigleBQ</vt:lpstr>
      <vt:lpstr>CommandeSeigleMaQ</vt:lpstr>
      <vt:lpstr>CommandeSeigleMoQ</vt:lpstr>
      <vt:lpstr>CommandeSojaBQ</vt:lpstr>
      <vt:lpstr>CommandeSojaMaQ</vt:lpstr>
      <vt:lpstr>CommandeSojaMoQ</vt:lpstr>
      <vt:lpstr>CommandeSorghoEnsiléBQ</vt:lpstr>
      <vt:lpstr>CommandeSorghoEnsiléMaQ</vt:lpstr>
      <vt:lpstr>CommandeSorghoEnsiléMoQ</vt:lpstr>
      <vt:lpstr>CommandeTournesolBQ</vt:lpstr>
      <vt:lpstr>CommandeTournesolMaQ</vt:lpstr>
      <vt:lpstr>CommandeTournesolMoQ</vt:lpstr>
      <vt:lpstr>CommandeTourteauColzaBQ</vt:lpstr>
      <vt:lpstr>CommandeTourteauColzaMaQ</vt:lpstr>
      <vt:lpstr>CommandeTourteauColzaMoQ</vt:lpstr>
      <vt:lpstr>CommandeTourteauTournesolBQ</vt:lpstr>
      <vt:lpstr>CommandeTourteauTournesolMaQ</vt:lpstr>
      <vt:lpstr>CommandeTourteauTournesolMoQ</vt:lpstr>
      <vt:lpstr>CommandeTriticaleBQ</vt:lpstr>
      <vt:lpstr>CommandeTriticaleMaQ</vt:lpstr>
      <vt:lpstr>CommandeTriticaleMoQ</vt:lpstr>
      <vt:lpstr>ConcentréBovins</vt:lpstr>
      <vt:lpstr>ConcentréBovinsNécessaireBQ</vt:lpstr>
      <vt:lpstr>ConcentréBovinsNécessaireMaQ</vt:lpstr>
      <vt:lpstr>ConcentréBovinsNécessaireMoQ</vt:lpstr>
      <vt:lpstr>ConcentréLapins</vt:lpstr>
      <vt:lpstr>ConcentréLapinsNécessaireBQ</vt:lpstr>
      <vt:lpstr>ConcentréLapinsNécessaireMaQ</vt:lpstr>
      <vt:lpstr>ConcentréLapinsNécessaireMoQ</vt:lpstr>
      <vt:lpstr>ConcentréPorcins</vt:lpstr>
      <vt:lpstr>ConcentréPorcinsNécessaireBQ</vt:lpstr>
      <vt:lpstr>ConcentréPorcinsNécessaireMaQ</vt:lpstr>
      <vt:lpstr>ConcentréPorcinsNécessaireMoQ</vt:lpstr>
      <vt:lpstr>CoutBatiments</vt:lpstr>
      <vt:lpstr>CoutEcurie</vt:lpstr>
      <vt:lpstr>CoutPaillageAnnuelBovins</vt:lpstr>
      <vt:lpstr>CoutPaillageAnnuelCanards</vt:lpstr>
      <vt:lpstr>CoutPaillageAnnuelCaprins</vt:lpstr>
      <vt:lpstr>CoutPaillageAnnuelChevauxSelle</vt:lpstr>
      <vt:lpstr>CoutPaillageAnnuelChevauxTrait</vt:lpstr>
      <vt:lpstr>CoutPaillageAnnuelLapins</vt:lpstr>
      <vt:lpstr>CoutPaillageAnnuelOies</vt:lpstr>
      <vt:lpstr>CoutPaillageAnnuelOvins</vt:lpstr>
      <vt:lpstr>CoutPaillageAnnuelPintades</vt:lpstr>
      <vt:lpstr>CoutPaillageAnnuelPoneys</vt:lpstr>
      <vt:lpstr>CoutPaillageAnnuelPorcins</vt:lpstr>
      <vt:lpstr>CoutPaillageAnnuelVolailles</vt:lpstr>
      <vt:lpstr>CoutParcVolailles</vt:lpstr>
      <vt:lpstr>CoutPoulailler</vt:lpstr>
      <vt:lpstr>Cultures</vt:lpstr>
      <vt:lpstr>DuréeDeStockage</vt:lpstr>
      <vt:lpstr>Eau</vt:lpstr>
      <vt:lpstr>EauNécessaire</vt:lpstr>
      <vt:lpstr>Elevage</vt:lpstr>
      <vt:lpstr>EnsilageHerbe</vt:lpstr>
      <vt:lpstr>EnsilageHerbeNécessaireBQ</vt:lpstr>
      <vt:lpstr>EnsilageHerbeNécessaireMaQ</vt:lpstr>
      <vt:lpstr>EnsilageHerbeNécessaireMoQ</vt:lpstr>
      <vt:lpstr>faon_mâle_0_3_mois</vt:lpstr>
      <vt:lpstr>faon_mâle_3_6_mois</vt:lpstr>
      <vt:lpstr>faon_mâle_6_12_mois</vt:lpstr>
      <vt:lpstr>FaonFemelle_0_3_mois</vt:lpstr>
      <vt:lpstr>FaonFemelle_3_6_mois</vt:lpstr>
      <vt:lpstr>FaonFemelle_6_12_mois</vt:lpstr>
      <vt:lpstr>Féverole</vt:lpstr>
      <vt:lpstr>FéveroleNécessaireBQ</vt:lpstr>
      <vt:lpstr>FéveroleNécessaireMaQ</vt:lpstr>
      <vt:lpstr>FéveroleNécessaireMoQ</vt:lpstr>
      <vt:lpstr>FoieGrasCanetons_0_1mois</vt:lpstr>
      <vt:lpstr>FoieGrasCanetons_1_2mois</vt:lpstr>
      <vt:lpstr>FoieGrasCanetons_2_3mois</vt:lpstr>
      <vt:lpstr>FoieGrasJeunesOies_3moisEtPlus</vt:lpstr>
      <vt:lpstr>FoieGrasOison_0_1mois</vt:lpstr>
      <vt:lpstr>FoieGrasOison_1_2mois</vt:lpstr>
      <vt:lpstr>FoieGrasOison_2_3mois</vt:lpstr>
      <vt:lpstr>FoieGrasTotalOisons</vt:lpstr>
      <vt:lpstr>Foin</vt:lpstr>
      <vt:lpstr>FoinNécessaireBQ</vt:lpstr>
      <vt:lpstr>FoinNécessaireMaQ</vt:lpstr>
      <vt:lpstr>FoinNécessaireMoQ</vt:lpstr>
      <vt:lpstr>France</vt:lpstr>
      <vt:lpstr>HerbeMangéeParBoucParJour</vt:lpstr>
      <vt:lpstr>HerbeMangéeParChevreauParJour</vt:lpstr>
      <vt:lpstr>HerbeMangéeParChèvreParJour</vt:lpstr>
      <vt:lpstr>HerbeMangéeParGenisseParJour</vt:lpstr>
      <vt:lpstr>HerbeMangéeParJeuneBoucEtJeuneChèvreParJour</vt:lpstr>
      <vt:lpstr>HerbeMangéeParTaureauParJour</vt:lpstr>
      <vt:lpstr>HerbeMangéeParTaurillonParJour</vt:lpstr>
      <vt:lpstr>HerbeMangéeParVacheParJour</vt:lpstr>
      <vt:lpstr>HerbeMangéeParVeauParJour</vt:lpstr>
      <vt:lpstr>jars</vt:lpstr>
      <vt:lpstr>jeune_bouc_6_12_mois</vt:lpstr>
      <vt:lpstr>jeune_canard_3_6_mois</vt:lpstr>
      <vt:lpstr>jeune_cane_3_6_mois</vt:lpstr>
      <vt:lpstr>jeune_chèvre_6_12_mois</vt:lpstr>
      <vt:lpstr>jeune_jars_3_6_mois</vt:lpstr>
      <vt:lpstr>jeune_oie_3_6_mois</vt:lpstr>
      <vt:lpstr>jeune_truie_3_6_mois</vt:lpstr>
      <vt:lpstr>jeune_truie_6_12_mois</vt:lpstr>
      <vt:lpstr>jeune_verrat_3_6_mois</vt:lpstr>
      <vt:lpstr>jeune_verrat_6_12_mois</vt:lpstr>
      <vt:lpstr>JeuneCoq_1_6_mois</vt:lpstr>
      <vt:lpstr>JeuneDaim_12_18_mois</vt:lpstr>
      <vt:lpstr>JeuneDaim_18_24_mois</vt:lpstr>
      <vt:lpstr>JeuneDaim_24_36_mois</vt:lpstr>
      <vt:lpstr>JeuneDaine_12_18_mois</vt:lpstr>
      <vt:lpstr>JeuneDaine_18_24_mois</vt:lpstr>
      <vt:lpstr>JeuneDaine_24_36_mois</vt:lpstr>
      <vt:lpstr>JeunePintadeFemelle_1_9_mois</vt:lpstr>
      <vt:lpstr>JeunePintadeMâle_1_9_mois</vt:lpstr>
      <vt:lpstr>JeunePoule_1_6_mois</vt:lpstr>
      <vt:lpstr>animaux!ListeBovins</vt:lpstr>
      <vt:lpstr>MaïsEnsilé</vt:lpstr>
      <vt:lpstr>MaïsEnsiléNécessaireBQ</vt:lpstr>
      <vt:lpstr>MaïsEnsiléNécessaireMaQ</vt:lpstr>
      <vt:lpstr>MaïsEnsiléNécessaireMoQ</vt:lpstr>
      <vt:lpstr>MaïsGrain</vt:lpstr>
      <vt:lpstr>MaïsGrainNécessaireBQ</vt:lpstr>
      <vt:lpstr>MaïsGrainNécessaireMaQ</vt:lpstr>
      <vt:lpstr>MaïsGrainNécessaireMoQ</vt:lpstr>
      <vt:lpstr>MAUVAISE</vt:lpstr>
      <vt:lpstr>Minéraux</vt:lpstr>
      <vt:lpstr>MinérauxNécessaireBQ</vt:lpstr>
      <vt:lpstr>MinérauxNécessaireMaQ</vt:lpstr>
      <vt:lpstr>MinérauxNécessaireMoQ</vt:lpstr>
      <vt:lpstr>MOYENNE</vt:lpstr>
      <vt:lpstr>NbreBisonsFemellesAuPré_0_3Mois</vt:lpstr>
      <vt:lpstr>NbreBisonsFemellesAuPré_12_18Mois</vt:lpstr>
      <vt:lpstr>NbreBisonsFemellesAuPré_18_24Mois</vt:lpstr>
      <vt:lpstr>NbreBisonsFemellesAuPré_24_36Mois</vt:lpstr>
      <vt:lpstr>NbreBisonsFemellesAuPré_3_6Mois</vt:lpstr>
      <vt:lpstr>NbreBisonsFemellesAuPré_3AnsEtPlus</vt:lpstr>
      <vt:lpstr>NbreBisonsFemellesAuPré_6_12Mois</vt:lpstr>
      <vt:lpstr>NbreBisonsMâlesAuPré_0_3Mois</vt:lpstr>
      <vt:lpstr>NbreBisonsMâlesAuPré_12_18Mois</vt:lpstr>
      <vt:lpstr>NbreBisonsMâlesAuPré_18_24Mois</vt:lpstr>
      <vt:lpstr>NbreBisonsMâlesAuPré_24_36Mois</vt:lpstr>
      <vt:lpstr>NbreBisonsMâlesAuPré_3_6Mois</vt:lpstr>
      <vt:lpstr>NbreBisonsMâlesAuPré_3AnsEtPlus</vt:lpstr>
      <vt:lpstr>NbreBisonsMâlesAuPré_6_12Mois</vt:lpstr>
      <vt:lpstr>NbreBovinsAuPré</vt:lpstr>
      <vt:lpstr>NbreBovinsFemellesAuPré_0_3Mois</vt:lpstr>
      <vt:lpstr>NbreBovinsFemellesAuPré_12_18Mois</vt:lpstr>
      <vt:lpstr>NbreBovinsFemellesAuPré_18_24Mois</vt:lpstr>
      <vt:lpstr>NbreBovinsFemellesAuPré_24_36Mois</vt:lpstr>
      <vt:lpstr>NbreBovinsFemellesAuPré_3_6Mois</vt:lpstr>
      <vt:lpstr>NbreBovinsFemellesAuPré_3AnsEtPlus</vt:lpstr>
      <vt:lpstr>NbreBovinsFemellesAuPré_6_12Mois</vt:lpstr>
      <vt:lpstr>NbreBovinsMâlesAuPré_0_3Mois</vt:lpstr>
      <vt:lpstr>NbreBovinsMâlesAuPré_12_18Mois</vt:lpstr>
      <vt:lpstr>NbreBovinsMâlesAuPré_18_24Mois</vt:lpstr>
      <vt:lpstr>NbreBovinsMâlesAuPré_24_36Mois</vt:lpstr>
      <vt:lpstr>NbreBovinsMâlesAuPré_3_6Mois</vt:lpstr>
      <vt:lpstr>NbreBovinsMâlesAuPré_3AnsEtPlus</vt:lpstr>
      <vt:lpstr>NbreBovinsMâlesAuPré_6_12Mois</vt:lpstr>
      <vt:lpstr>NbreCaprinsFemellesAuPré_0_3Mois</vt:lpstr>
      <vt:lpstr>NbreCaprinsFemellesAuPré_12_18Mois</vt:lpstr>
      <vt:lpstr>NbreCaprinsFemellesAuPré_18_24Mois</vt:lpstr>
      <vt:lpstr>NbreCaprinsFemellesAuPré_24_36Mois</vt:lpstr>
      <vt:lpstr>NbreCaprinsFemellesAuPré_3_6Mois</vt:lpstr>
      <vt:lpstr>NbreCaprinsFemellesAuPré_3AnsEtPlus</vt:lpstr>
      <vt:lpstr>NbreCaprinsFemellesAuPré_6_12Mois</vt:lpstr>
      <vt:lpstr>NbreCaprinsMâlesAuPré_0_3Mois</vt:lpstr>
      <vt:lpstr>NbreCaprinsMâlesAuPré_12_18Mois</vt:lpstr>
      <vt:lpstr>NbreCaprinsMâlesAuPré_18_24Mois</vt:lpstr>
      <vt:lpstr>NbreCaprinsMâlesAuPré_24_36Mois</vt:lpstr>
      <vt:lpstr>NbreCaprinsMâlesAuPré_3_6Mois</vt:lpstr>
      <vt:lpstr>NbreCaprinsMâlesAuPré_3AnsEtPlus</vt:lpstr>
      <vt:lpstr>NbreCaprinsMâlesAuPré_6_12Mois</vt:lpstr>
      <vt:lpstr>NbreChevauxSelleFemellesAuPré_0_3Mois</vt:lpstr>
      <vt:lpstr>NbreChevauxSelleFemellesAuPré_12_18Mois</vt:lpstr>
      <vt:lpstr>NbreChevauxSelleFemellesAuPré_18_24Mois</vt:lpstr>
      <vt:lpstr>NbreChevauxSelleFemellesAuPré_24_36Mois</vt:lpstr>
      <vt:lpstr>NbreChevauxSelleFemellesAuPré_3_6Mois</vt:lpstr>
      <vt:lpstr>NbreChevauxSelleFemellesAuPré_3AnsEtPlus</vt:lpstr>
      <vt:lpstr>NbreChevauxSelleFemellesAuPré_6_12Mois</vt:lpstr>
      <vt:lpstr>NbreChevauxSelleMâlesAuPré_0_3Mois</vt:lpstr>
      <vt:lpstr>NbreChevauxSelleMâlesAuPré_12_18Mois</vt:lpstr>
      <vt:lpstr>NbreChevauxSelleMâlesAuPré_18_24Mois</vt:lpstr>
      <vt:lpstr>NbreChevauxSelleMâlesAuPré_24_36Mois</vt:lpstr>
      <vt:lpstr>NbreChevauxSelleMâlesAuPré_3_6Mois</vt:lpstr>
      <vt:lpstr>NbreChevauxSelleMâlesAuPré_3AnsEtPlus</vt:lpstr>
      <vt:lpstr>NbreChevauxSelleMâlesAuPré_6_12Mois</vt:lpstr>
      <vt:lpstr>NbreChevauxTraitFemellesAuPré_0_3Mois</vt:lpstr>
      <vt:lpstr>NbreChevauxTraitFemellesAuPré_12_18Mois</vt:lpstr>
      <vt:lpstr>NbreChevauxTraitFemellesAuPré_18_24Mois</vt:lpstr>
      <vt:lpstr>NbreChevauxTraitFemellesAuPré_24_36Mois</vt:lpstr>
      <vt:lpstr>NbreChevauxTraitFemellesAuPré_3_6Mois</vt:lpstr>
      <vt:lpstr>NbreChevauxTraitFemellesAuPré_3AnsEtPlus</vt:lpstr>
      <vt:lpstr>NbreChevauxTraitFemellesAuPré_6_12Mois</vt:lpstr>
      <vt:lpstr>NbreChevauxTraitMâlesAuPré_0_3Mois</vt:lpstr>
      <vt:lpstr>NbreChevauxTraitMâlesAuPré_12_18Mois</vt:lpstr>
      <vt:lpstr>NbreChevauxTraitMâlesAuPré_18_24Mois</vt:lpstr>
      <vt:lpstr>NbreChevauxTraitMâlesAuPré_24_36Mois</vt:lpstr>
      <vt:lpstr>NbreChevauxTraitMâlesAuPré_3_6Mois</vt:lpstr>
      <vt:lpstr>NbreChevauxTraitMâlesAuPré_3AnsEtPlus</vt:lpstr>
      <vt:lpstr>NbreChevauxTraitMâlesAuPré_6_12Mois</vt:lpstr>
      <vt:lpstr>NbreDaimsFemellesAuPré_0_3Mois</vt:lpstr>
      <vt:lpstr>NbreDaimsFemellesAuPré_12_18Mois</vt:lpstr>
      <vt:lpstr>NbreDaimsFemellesAuPré_18_24Mois</vt:lpstr>
      <vt:lpstr>NbreDaimsFemellesAuPré_24_36Mois</vt:lpstr>
      <vt:lpstr>NbreDaimsFemellesAuPré_3_6Mois</vt:lpstr>
      <vt:lpstr>NbreDaimsFemellesAuPré_3AnsEtPlus</vt:lpstr>
      <vt:lpstr>NbreDaimsFemellesAuPré_6_12Mois</vt:lpstr>
      <vt:lpstr>NbreDaimsMâlesAuPré_0_3Mois</vt:lpstr>
      <vt:lpstr>NbreDaimsMâlesAuPré_12_18Mois</vt:lpstr>
      <vt:lpstr>NbreDaimsMâlesAuPré_18_24Mois</vt:lpstr>
      <vt:lpstr>NbreDaimsMâlesAuPré_24_36Mois</vt:lpstr>
      <vt:lpstr>NbreDaimsMâlesAuPré_3_6Mois</vt:lpstr>
      <vt:lpstr>NbreDaimsMâlesAuPré_3AnsEtPlus</vt:lpstr>
      <vt:lpstr>NbreDaimsMâlesAuPré_6_12Mois</vt:lpstr>
      <vt:lpstr>NbreJoursNourrirAutres</vt:lpstr>
      <vt:lpstr>NbreJoursNourrirBisonsDaims</vt:lpstr>
      <vt:lpstr>NbreJoursNourrirBovins</vt:lpstr>
      <vt:lpstr>NbreJoursNourrirCaprins</vt:lpstr>
      <vt:lpstr>NbreJoursNourrirChevauxSelle</vt:lpstr>
      <vt:lpstr>NbreJoursNourrirChevauxTrait</vt:lpstr>
      <vt:lpstr>NbreJoursNourrirOvins</vt:lpstr>
      <vt:lpstr>NbreJoursNourrirPoneys</vt:lpstr>
      <vt:lpstr>NbreOvinsFemellesAuPré_0_3Mois</vt:lpstr>
      <vt:lpstr>NbreOvinsFemellesAuPré_12_18Mois</vt:lpstr>
      <vt:lpstr>NbreOvinsFemellesAuPré_18_24Mois</vt:lpstr>
      <vt:lpstr>NbreOvinsFemellesAuPré_24_36Mois</vt:lpstr>
      <vt:lpstr>NbreOvinsFemellesAuPré_3_6Mois</vt:lpstr>
      <vt:lpstr>NbreOvinsFemellesAuPré_3AnsEtPlus</vt:lpstr>
      <vt:lpstr>NbreOvinsFemellesAuPré_6_12Mois</vt:lpstr>
      <vt:lpstr>NbreOvinsMâlesAuPré_0_3Mois</vt:lpstr>
      <vt:lpstr>NbreOvinsMâlesAuPré_12_18Mois</vt:lpstr>
      <vt:lpstr>NbreOvinsMâlesAuPré_18_24Mois</vt:lpstr>
      <vt:lpstr>NbreOvinsMâlesAuPré_24_36Mois</vt:lpstr>
      <vt:lpstr>NbreOvinsMâlesAuPré_3_6Mois</vt:lpstr>
      <vt:lpstr>NbreOvinsMâlesAuPré_3AnsEtPlus</vt:lpstr>
      <vt:lpstr>NbreOvinsMâlesAuPré_6_12Mois</vt:lpstr>
      <vt:lpstr>NbrePoneysFemellesAuPré_0_3Mois</vt:lpstr>
      <vt:lpstr>NbrePoneysFemellesAuPré_12_18Mois</vt:lpstr>
      <vt:lpstr>NbrePoneysFemellesAuPré_18_24Mois</vt:lpstr>
      <vt:lpstr>NbrePoneysFemellesAuPré_24_36Mois</vt:lpstr>
      <vt:lpstr>NbrePoneysFemellesAuPré_3_6Mois</vt:lpstr>
      <vt:lpstr>NbrePoneysFemellesAuPré_3AnsEtPlus</vt:lpstr>
      <vt:lpstr>NbrePoneysFemellesAuPré_6_12Mois</vt:lpstr>
      <vt:lpstr>NbrePoneysMâlesAuPré_0_3Mois</vt:lpstr>
      <vt:lpstr>NbrePoneysMâlesAuPré_12_18Mois</vt:lpstr>
      <vt:lpstr>NbrePoneysMâlesAuPré_18_24Mois</vt:lpstr>
      <vt:lpstr>NbrePoneysMâlesAuPré_24_36Mois</vt:lpstr>
      <vt:lpstr>NbrePoneysMâlesAuPré_3_6Mois</vt:lpstr>
      <vt:lpstr>NbrePoneysMâlesAuPré_3AnsEtPlus</vt:lpstr>
      <vt:lpstr>NbrePoneysMâlesAuPré_6_12Mois</vt:lpstr>
      <vt:lpstr>NON</vt:lpstr>
      <vt:lpstr>oie</vt:lpstr>
      <vt:lpstr>oison_femelle_0_3_mois</vt:lpstr>
      <vt:lpstr>oison_mâle_0_3_mois</vt:lpstr>
      <vt:lpstr>Orge</vt:lpstr>
      <vt:lpstr>OrgeNécessaireBQ</vt:lpstr>
      <vt:lpstr>OrgeNécessaireMaQ</vt:lpstr>
      <vt:lpstr>OrgeNécessaireMoQ</vt:lpstr>
      <vt:lpstr>OUI</vt:lpstr>
      <vt:lpstr>Paille</vt:lpstr>
      <vt:lpstr>PailleNécessaireBQ</vt:lpstr>
      <vt:lpstr>PailleNécessaireMaQ</vt:lpstr>
      <vt:lpstr>PailleNécessaireMoQ</vt:lpstr>
      <vt:lpstr>pintadeau_mâle_0_1_mois</vt:lpstr>
      <vt:lpstr>PintadeauFemelle_0_1_mois</vt:lpstr>
      <vt:lpstr>Pois</vt:lpstr>
      <vt:lpstr>PoisNécessaireBQ</vt:lpstr>
      <vt:lpstr>PoisNécessaireMaQ</vt:lpstr>
      <vt:lpstr>PoisNécessaireMoQ</vt:lpstr>
      <vt:lpstr>porcelet_femelle_0_1_mois</vt:lpstr>
      <vt:lpstr>porcelet_femelle_1_3_mois</vt:lpstr>
      <vt:lpstr>porcelet_mâle_0_1_mois</vt:lpstr>
      <vt:lpstr>porcelet_mâle_1_3_mois</vt:lpstr>
      <vt:lpstr>poussin_femelle_0_1_mois</vt:lpstr>
      <vt:lpstr>PrixAvoine</vt:lpstr>
      <vt:lpstr>PrixBetterave</vt:lpstr>
      <vt:lpstr>PrixBlé</vt:lpstr>
      <vt:lpstr>PrixBouchonsLuzerne</vt:lpstr>
      <vt:lpstr>PrixCanola</vt:lpstr>
      <vt:lpstr>PrixColza</vt:lpstr>
      <vt:lpstr>PrixConcentréBovin</vt:lpstr>
      <vt:lpstr>PrixConcentréLapin</vt:lpstr>
      <vt:lpstr>PrixConcentréPorcin</vt:lpstr>
      <vt:lpstr>PrixEau</vt:lpstr>
      <vt:lpstr>PrixEnsilageHerbe</vt:lpstr>
      <vt:lpstr>PrixFeverole</vt:lpstr>
      <vt:lpstr>PrixFoin</vt:lpstr>
      <vt:lpstr>PrixMaïsEnsilé</vt:lpstr>
      <vt:lpstr>PrixMaïsGrain</vt:lpstr>
      <vt:lpstr>PrixMinéraux</vt:lpstr>
      <vt:lpstr>PrixOrge</vt:lpstr>
      <vt:lpstr>PrixPaille</vt:lpstr>
      <vt:lpstr>PrixPois</vt:lpstr>
      <vt:lpstr>PrixRationBisons</vt:lpstr>
      <vt:lpstr>PrixRationBovins</vt:lpstr>
      <vt:lpstr>PrixRationCanards</vt:lpstr>
      <vt:lpstr>PrixRationCaprins</vt:lpstr>
      <vt:lpstr>PrixRationChevauxSelle</vt:lpstr>
      <vt:lpstr>PrixRationChevauxTrait</vt:lpstr>
      <vt:lpstr>PrixRationDaims</vt:lpstr>
      <vt:lpstr>PrixRationHiverBovins</vt:lpstr>
      <vt:lpstr>PrixRationHiverOvins</vt:lpstr>
      <vt:lpstr>PrixRationLapins</vt:lpstr>
      <vt:lpstr>PrixRationOies</vt:lpstr>
      <vt:lpstr>PrixRationOvins</vt:lpstr>
      <vt:lpstr>PrixRationPintades</vt:lpstr>
      <vt:lpstr>PrixRationPoneys</vt:lpstr>
      <vt:lpstr>PrixRationPorcins</vt:lpstr>
      <vt:lpstr>PrixRationVolailles</vt:lpstr>
      <vt:lpstr>PrixSeigle</vt:lpstr>
      <vt:lpstr>PrixSoja</vt:lpstr>
      <vt:lpstr>PrixSorghoEnsilé</vt:lpstr>
      <vt:lpstr>PrixTournesol</vt:lpstr>
      <vt:lpstr>PrixTourteauColza</vt:lpstr>
      <vt:lpstr>PrixTourteauTournesol</vt:lpstr>
      <vt:lpstr>PrixTriticale</vt:lpstr>
      <vt:lpstr>PrixVaccinBison</vt:lpstr>
      <vt:lpstr>PrixVaccinBovin</vt:lpstr>
      <vt:lpstr>PrixVaccinCaprin</vt:lpstr>
      <vt:lpstr>ProductionLaitBovins</vt:lpstr>
      <vt:lpstr>ProductionLaitCaprins</vt:lpstr>
      <vt:lpstr>QtéRationComplèteHivernaleBison_0_3Mois</vt:lpstr>
      <vt:lpstr>QtéRationComplèteHivernaleBison_12_18Mois</vt:lpstr>
      <vt:lpstr>QtéRationComplèteHivernaleBison_18_24Mois</vt:lpstr>
      <vt:lpstr>QtéRationComplèteHivernaleBison_24_36Mois</vt:lpstr>
      <vt:lpstr>QtéRationComplèteHivernaleBison_3_6Mois</vt:lpstr>
      <vt:lpstr>QtéRationComplèteHivernaleBison_3AnsEtPlus</vt:lpstr>
      <vt:lpstr>QtéRationComplèteHivernaleBison_6_12Mois</vt:lpstr>
      <vt:lpstr>QtéRationComplèteHivernaleBovin_0_3Mois</vt:lpstr>
      <vt:lpstr>QtéRationComplèteHivernaleBovin_12_18Mois</vt:lpstr>
      <vt:lpstr>QtéRationComplèteHivernaleBovin_18_24Mois</vt:lpstr>
      <vt:lpstr>QtéRationComplèteHivernaleBovin_24_36Mois</vt:lpstr>
      <vt:lpstr>QtéRationComplèteHivernaleBovin_3_6Mois</vt:lpstr>
      <vt:lpstr>QtéRationComplèteHivernaleBovin_3AnsEtPlus</vt:lpstr>
      <vt:lpstr>QtéRationComplèteHivernaleBovin_6_12Mois</vt:lpstr>
      <vt:lpstr>QualitéAlimentsAgneauFemelle_0_3_mois</vt:lpstr>
      <vt:lpstr>QualitéAlimentsAgneauFemelle_3_6_mois</vt:lpstr>
      <vt:lpstr>QualitéAlimentsAgneauMâle_0_3_mois</vt:lpstr>
      <vt:lpstr>QualitéAlimentsAgneauMâle_3_6_mois</vt:lpstr>
      <vt:lpstr>QualitéAlimentsBélier</vt:lpstr>
      <vt:lpstr>QualitéAlimentsBisonneauxFemelles_0_3_mois</vt:lpstr>
      <vt:lpstr>QualitéAlimentsBisonneauxFemelles_3_6_mois</vt:lpstr>
      <vt:lpstr>QualitéAlimentsBisonneauxFemelles_6_12_mois</vt:lpstr>
      <vt:lpstr>QualitéAlimentsBisonneauxMâles_0_3_mois</vt:lpstr>
      <vt:lpstr>QualitéAlimentsBisonneauxMâles_3_6_mois</vt:lpstr>
      <vt:lpstr>QualitéAlimentsBisonneauxMâles_6_12_mois</vt:lpstr>
      <vt:lpstr>QualitéAlimentsBisonnes</vt:lpstr>
      <vt:lpstr>QualitéAlimentsBisons</vt:lpstr>
      <vt:lpstr>QualitéAlimentsBouc</vt:lpstr>
      <vt:lpstr>QualitéAlimentsBovins</vt:lpstr>
      <vt:lpstr>QualitéAlimentsBrebis</vt:lpstr>
      <vt:lpstr>QualitéAlimentsCanard</vt:lpstr>
      <vt:lpstr>QualitéAlimentsCane</vt:lpstr>
      <vt:lpstr>QualitéAlimentsCanetonFemelle</vt:lpstr>
      <vt:lpstr>QualitéAlimentsCanetonMâle</vt:lpstr>
      <vt:lpstr>QualitéAlimentsCaprins</vt:lpstr>
      <vt:lpstr>QualitéAlimentsChèvre</vt:lpstr>
      <vt:lpstr>QualitéAlimentsChevreau_0_3_mois</vt:lpstr>
      <vt:lpstr>QualitéAlimentsChevreau_3_6_mois</vt:lpstr>
      <vt:lpstr>QualitéAlimentsChevrette_0_3_mois</vt:lpstr>
      <vt:lpstr>QualitéAlimentsChevrette_3_6_mois</vt:lpstr>
      <vt:lpstr>QualitéAlimentsCoq</vt:lpstr>
      <vt:lpstr>QualitéAlimentsDaim</vt:lpstr>
      <vt:lpstr>QualitéAlimentsDaine</vt:lpstr>
      <vt:lpstr>QualitéAlimentsEtalonPoney</vt:lpstr>
      <vt:lpstr>QualitéAlimentsEtalonSelle</vt:lpstr>
      <vt:lpstr>QualitéAlimentsEtalonTrait</vt:lpstr>
      <vt:lpstr>QualitéAlimentsFaonFemelle_0_3_mois</vt:lpstr>
      <vt:lpstr>QualitéAlimentsFaonFemelle_3_6_mois</vt:lpstr>
      <vt:lpstr>QualitéAlimentsFaonFemelle_6_12_mois</vt:lpstr>
      <vt:lpstr>QualitéAlimentsFaonMâle_0_3_mois</vt:lpstr>
      <vt:lpstr>QualitéAlimentsFaonMâle_3_6_mois</vt:lpstr>
      <vt:lpstr>QualitéAlimentsFaonMâle_6_12_mois</vt:lpstr>
      <vt:lpstr>QualitéAlimentsGavageCaneton_0_1_mois</vt:lpstr>
      <vt:lpstr>QualitéAlimentsGavageCaneton_1_2_mois</vt:lpstr>
      <vt:lpstr>QualitéAlimentsGavageCaneton_2_3_mois</vt:lpstr>
      <vt:lpstr>QualitéAlimentsGavageJeuneCanard</vt:lpstr>
      <vt:lpstr>QualitéAlimentsGavageJeunesOies</vt:lpstr>
      <vt:lpstr>QualitéAlimentsGavageOison_0_1_mois</vt:lpstr>
      <vt:lpstr>QualitéAlimentsGavageOison_1_2_mois</vt:lpstr>
      <vt:lpstr>QualitéAlimentsGavageOison_2_3_mois</vt:lpstr>
      <vt:lpstr>QualitéAlimentsGénisses_12_18_mois</vt:lpstr>
      <vt:lpstr>QualitéAlimentsGénisses_18_24_mois</vt:lpstr>
      <vt:lpstr>QualitéAlimentsGénisses_24_36_mois</vt:lpstr>
      <vt:lpstr>QualitéAlimentsJars</vt:lpstr>
      <vt:lpstr>QualitéAlimentsJeuneBélier</vt:lpstr>
      <vt:lpstr>QualitéAlimentsJeuneBouc</vt:lpstr>
      <vt:lpstr>QualitéAlimentsJeuneBrebis</vt:lpstr>
      <vt:lpstr>QualitéAlimentsJeuneCanard</vt:lpstr>
      <vt:lpstr>QualitéAlimentsJeuneCane</vt:lpstr>
      <vt:lpstr>QualitéAlimentsJeuneChèvre</vt:lpstr>
      <vt:lpstr>QualitéAlimentsJeuneCoq</vt:lpstr>
      <vt:lpstr>QualitéAlimentsJeuneDaim_12_18_mois</vt:lpstr>
      <vt:lpstr>QualitéAlimentsJeuneDaim_18_24_mois</vt:lpstr>
      <vt:lpstr>QualitéAlimentsJeuneDaim_24_36_mois</vt:lpstr>
      <vt:lpstr>QualitéAlimentsJeuneDaine_12_18_mois</vt:lpstr>
      <vt:lpstr>QualitéAlimentsJeuneDaine_18_24_mois</vt:lpstr>
      <vt:lpstr>QualitéAlimentsJeuneDaine_24_36_mois</vt:lpstr>
      <vt:lpstr>QualitéAlimentsJeuneEtalon_12_24_moisPoney</vt:lpstr>
      <vt:lpstr>QualitéAlimentsJeuneEtalon_12_24_moisSelle</vt:lpstr>
      <vt:lpstr>QualitéAlimentsJeuneEtalon_12_24_moisTrait</vt:lpstr>
      <vt:lpstr>QualitéAlimentsJeuneEtalon_24_36_moisPoney</vt:lpstr>
      <vt:lpstr>QualitéAlimentsJeuneEtalon_24_36_moisSelle</vt:lpstr>
      <vt:lpstr>QualitéAlimentsJeuneEtalon_24_36_moisTrait</vt:lpstr>
      <vt:lpstr>QualitéAlimentsJeuneJars</vt:lpstr>
      <vt:lpstr>QualitéAlimentsJeuneJument_12_24_moisPoney</vt:lpstr>
      <vt:lpstr>QualitéAlimentsJeuneJument_12_24_moisSelle</vt:lpstr>
      <vt:lpstr>QualitéAlimentsJeuneJument_12_24_moisTrait</vt:lpstr>
      <vt:lpstr>QualitéAlimentsJeuneJument_24_36_moisPoney</vt:lpstr>
      <vt:lpstr>QualitéAlimentsJeuneJument_24_36_moisSelle</vt:lpstr>
      <vt:lpstr>QualitéAlimentsJeuneJument_24_36_moisTrait</vt:lpstr>
      <vt:lpstr>QualitéAlimentsJeuneLapin</vt:lpstr>
      <vt:lpstr>QualitéAlimentsJeuneLapine</vt:lpstr>
      <vt:lpstr>QualitéAlimentsJeuneOie</vt:lpstr>
      <vt:lpstr>QualitéAlimentsJeunePintadeFemelle</vt:lpstr>
      <vt:lpstr>QualitéAlimentsJeunePintadeMâle</vt:lpstr>
      <vt:lpstr>QualitéAlimentsJeunePoule</vt:lpstr>
      <vt:lpstr>QualitéAlimentsJeunesBisonnes_12_18_mois</vt:lpstr>
      <vt:lpstr>QualitéAlimentsJeunesBisonnes_18_24_mois</vt:lpstr>
      <vt:lpstr>QualitéAlimentsJeunesBisonnes_24_36_mois</vt:lpstr>
      <vt:lpstr>QualitéAlimentsJeunesBisons_12_18_mois</vt:lpstr>
      <vt:lpstr>QualitéAlimentsJeunesBisons_18_24_mois</vt:lpstr>
      <vt:lpstr>QualitéAlimentsJeunesBisons_24_36_mois</vt:lpstr>
      <vt:lpstr>QualitéAlimentsJeuneTruie_3_6_mois</vt:lpstr>
      <vt:lpstr>QualitéAlimentsJeuneTruie_6_12_mois</vt:lpstr>
      <vt:lpstr>QualitéAlimentsJeuneVerrat_3_6_mois</vt:lpstr>
      <vt:lpstr>QualitéAlimentsJeuneVerrat_6_12_mois</vt:lpstr>
      <vt:lpstr>QualitéAlimentsJumentPoney</vt:lpstr>
      <vt:lpstr>QualitéAlimentsJumentSelle</vt:lpstr>
      <vt:lpstr>QualitéAlimentsJumentTrait</vt:lpstr>
      <vt:lpstr>QualitéAlimentsLapereauFemelle_0_1_mois</vt:lpstr>
      <vt:lpstr>QualitéAlimentsLapereauMâle_0_1_mois</vt:lpstr>
      <vt:lpstr>QualitéAlimentsLapin</vt:lpstr>
      <vt:lpstr>QualitéAlimentsLapine</vt:lpstr>
      <vt:lpstr>QualitéAlimentsOie</vt:lpstr>
      <vt:lpstr>QualitéAlimentsOisonFemelle_0_3_mois</vt:lpstr>
      <vt:lpstr>QualitéAlimentsOisonMâle_0_3_mois</vt:lpstr>
      <vt:lpstr>QualitéAlimentsPintadeauFemelle_0_1_mois</vt:lpstr>
      <vt:lpstr>QualitéAlimentsPintadeauMâle_0_1_mois</vt:lpstr>
      <vt:lpstr>QualitéAlimentsPintadeFemelle</vt:lpstr>
      <vt:lpstr>QualitéAlimentsPintadeMâle</vt:lpstr>
      <vt:lpstr>QualitéAlimentsPorceletFemelle_0_1_mois</vt:lpstr>
      <vt:lpstr>QualitéAlimentsPorceletFemelle_1_3_mois</vt:lpstr>
      <vt:lpstr>QualitéAlimentsPorceletMâle_0_1_mois</vt:lpstr>
      <vt:lpstr>QualitéAlimentsPorceletMâle_1_3_mois</vt:lpstr>
      <vt:lpstr>QualitéAlimentsPoulainFemellePoney</vt:lpstr>
      <vt:lpstr>QualitéAlimentsPoulainFemelleTrait</vt:lpstr>
      <vt:lpstr>QualitéAlimentsPoulainMâlePoney</vt:lpstr>
      <vt:lpstr>QualitéAlimentsPoulainMâleTrait</vt:lpstr>
      <vt:lpstr>QualitéAlimentsPoulainSelleFemelle</vt:lpstr>
      <vt:lpstr>QualitéAlimentsPoulainSelleMâle</vt:lpstr>
      <vt:lpstr>QualitéAlimentsPoule</vt:lpstr>
      <vt:lpstr>QualitéAlimentsPoussinFemelle_0_1_mois</vt:lpstr>
      <vt:lpstr>QualitéAlimentsPoussinMâle_0_1_mois</vt:lpstr>
      <vt:lpstr>QualitéAlimentsTaureaux</vt:lpstr>
      <vt:lpstr>QualitéAlimentsTaurillons_12_18_mois</vt:lpstr>
      <vt:lpstr>QualitéAlimentsTaurillons_18_24_mois</vt:lpstr>
      <vt:lpstr>QualitéAlimentsTaurillons_24_36_mois</vt:lpstr>
      <vt:lpstr>QualitéAlimentsTruie</vt:lpstr>
      <vt:lpstr>QualitéAlimentsVaches</vt:lpstr>
      <vt:lpstr>QualitéAlimentsVeauxFemelles_0_3_mois</vt:lpstr>
      <vt:lpstr>QualitéAlimentsVeauxFemelles_3_6_mois</vt:lpstr>
      <vt:lpstr>QualitéAlimentsVeauxFemelles_6_12_mois</vt:lpstr>
      <vt:lpstr>QualitéAlimentsVeauxMâles_0_3_mois</vt:lpstr>
      <vt:lpstr>QualitéAlimentsVeauxMâles_3_6_mois</vt:lpstr>
      <vt:lpstr>QualitéAlimentsVeauxMâles_6_12_mois</vt:lpstr>
      <vt:lpstr>QualitéAlimentsVerrat</vt:lpstr>
      <vt:lpstr>QualitéRationComplèteBovins</vt:lpstr>
      <vt:lpstr>RationBisonNécessaireBQ</vt:lpstr>
      <vt:lpstr>RationBisonNécessaireMaQ</vt:lpstr>
      <vt:lpstr>RationBisonNécessaireMoQ</vt:lpstr>
      <vt:lpstr>RationBisons</vt:lpstr>
      <vt:lpstr>RationBovins</vt:lpstr>
      <vt:lpstr>RationBovinsNécessaireBQ</vt:lpstr>
      <vt:lpstr>RationBovinsNécessaireMaQ</vt:lpstr>
      <vt:lpstr>RationBovinsNécessaireMoQ</vt:lpstr>
      <vt:lpstr>RationCanards</vt:lpstr>
      <vt:lpstr>RationCanardsNécessaireBQ</vt:lpstr>
      <vt:lpstr>RationCanardsNécessaireMaQ</vt:lpstr>
      <vt:lpstr>RationCanardsNécessaireMoQ</vt:lpstr>
      <vt:lpstr>RationCaprins</vt:lpstr>
      <vt:lpstr>RationCaprinsNécessaireBQ</vt:lpstr>
      <vt:lpstr>RationCaprinsNécessaireMaQ</vt:lpstr>
      <vt:lpstr>RationCaprinsNécessaireMoQ</vt:lpstr>
      <vt:lpstr>RationChevauxSelle</vt:lpstr>
      <vt:lpstr>RationChevauxSelleNécessaireBQ</vt:lpstr>
      <vt:lpstr>RationChevauxSelleNécessaireMaQ</vt:lpstr>
      <vt:lpstr>RationChevauxSelleNécessaireMoQ</vt:lpstr>
      <vt:lpstr>RationChevauxTrait</vt:lpstr>
      <vt:lpstr>RationChevauxTraitNécessaireBQ</vt:lpstr>
      <vt:lpstr>RationChevauxTraitNécessaireMaQ</vt:lpstr>
      <vt:lpstr>RationChevauxTraitNécessaireMoQ</vt:lpstr>
      <vt:lpstr>RationDaims</vt:lpstr>
      <vt:lpstr>RationDaimsNécessaireBQ</vt:lpstr>
      <vt:lpstr>RationDaimsNécessaireMaQ</vt:lpstr>
      <vt:lpstr>RationDaimsNécessaireMoQ</vt:lpstr>
      <vt:lpstr>RationEtéChevauxSelle</vt:lpstr>
      <vt:lpstr>RationEtéChevauxTrait</vt:lpstr>
      <vt:lpstr>RationEtéPoneys</vt:lpstr>
      <vt:lpstr>RationHiverBovins</vt:lpstr>
      <vt:lpstr>RationHiverBovinsNécessaireBQ</vt:lpstr>
      <vt:lpstr>RationHiverBovinsNécessaireMaQ</vt:lpstr>
      <vt:lpstr>RationHiverBovinsNécessaireMoQ</vt:lpstr>
      <vt:lpstr>RationHivernaleAuPréChevauxSelle</vt:lpstr>
      <vt:lpstr>RationHivernaleAuPréChevauxTrait</vt:lpstr>
      <vt:lpstr>RationHivernaleAuPréPoneys</vt:lpstr>
      <vt:lpstr>RationHivernaleBovinsAuPré</vt:lpstr>
      <vt:lpstr>RationHivernaleOvinsAuPré</vt:lpstr>
      <vt:lpstr>RationHiverOvins</vt:lpstr>
      <vt:lpstr>RationHiverOvinsNécessaireBQ</vt:lpstr>
      <vt:lpstr>RationHiverOvinsNécessaireMaQ</vt:lpstr>
      <vt:lpstr>RationHiverOvinsNécessaireMoQ</vt:lpstr>
      <vt:lpstr>RationLapins</vt:lpstr>
      <vt:lpstr>RationLapinsNécessaireBQ</vt:lpstr>
      <vt:lpstr>RationLapinsNécessaireMaQ</vt:lpstr>
      <vt:lpstr>RationLapinsNécessaireMoQ</vt:lpstr>
      <vt:lpstr>RationOies</vt:lpstr>
      <vt:lpstr>RationOiesNécessaireBQ</vt:lpstr>
      <vt:lpstr>RationOiesNécessaireMaQ</vt:lpstr>
      <vt:lpstr>RationOiesNécessaireMoQ</vt:lpstr>
      <vt:lpstr>RationOvins</vt:lpstr>
      <vt:lpstr>RationOvinsNécessaireBQ</vt:lpstr>
      <vt:lpstr>RationOvinsNécessaireMaQ</vt:lpstr>
      <vt:lpstr>RationOvinsNécessaireMoQ</vt:lpstr>
      <vt:lpstr>RationPintades</vt:lpstr>
      <vt:lpstr>RationPintadesNécessaireBQ</vt:lpstr>
      <vt:lpstr>RationPintadesNécessaireMaQ</vt:lpstr>
      <vt:lpstr>RationPintadesNécessaireMoQ</vt:lpstr>
      <vt:lpstr>RationPoneys</vt:lpstr>
      <vt:lpstr>RationPoneysNécessaireBQ</vt:lpstr>
      <vt:lpstr>RationPoneysNécessaireMaQ</vt:lpstr>
      <vt:lpstr>RationPoneysNécessaireMoQ</vt:lpstr>
      <vt:lpstr>RationPorcins</vt:lpstr>
      <vt:lpstr>RationPorcinsNécessaireBQ</vt:lpstr>
      <vt:lpstr>RationPorcinsNécessaireMaQ</vt:lpstr>
      <vt:lpstr>RationPorcinsNécessaireMoQ</vt:lpstr>
      <vt:lpstr>RationVolailles</vt:lpstr>
      <vt:lpstr>RationVolaillesNécessaireBQ</vt:lpstr>
      <vt:lpstr>RationVolaillesNécessaireMaQ</vt:lpstr>
      <vt:lpstr>RationVolaillesNécessaireMoQ</vt:lpstr>
      <vt:lpstr>Seigle</vt:lpstr>
      <vt:lpstr>SeigleNécessaireBQ</vt:lpstr>
      <vt:lpstr>SeigleNécessaireMaQ</vt:lpstr>
      <vt:lpstr>SeigleNécessaireMoQ</vt:lpstr>
      <vt:lpstr>Soja</vt:lpstr>
      <vt:lpstr>SojaNécessaireBQ</vt:lpstr>
      <vt:lpstr>SojaNécessaireMaQ</vt:lpstr>
      <vt:lpstr>SojaNécessaireMoQ</vt:lpstr>
      <vt:lpstr>SorghoEnsilé</vt:lpstr>
      <vt:lpstr>SorghoEnsiléNécessaireBQ</vt:lpstr>
      <vt:lpstr>SorghoEnsiléNécessaireMaQ</vt:lpstr>
      <vt:lpstr>SorghoEnsiléNécessaireMoQ</vt:lpstr>
      <vt:lpstr>Spécificité1Bovins</vt:lpstr>
      <vt:lpstr>Spécificité1Canards</vt:lpstr>
      <vt:lpstr>Spécificité1Caprins</vt:lpstr>
      <vt:lpstr>Spécificité1ChevauxSelle</vt:lpstr>
      <vt:lpstr>Spécificité1ChevauxTrait</vt:lpstr>
      <vt:lpstr>Spécificité1Daims</vt:lpstr>
      <vt:lpstr>Spécificité1Lapins</vt:lpstr>
      <vt:lpstr>Spécificité1Oies</vt:lpstr>
      <vt:lpstr>Spécificité1Ovins</vt:lpstr>
      <vt:lpstr>Spécificité1Pintades</vt:lpstr>
      <vt:lpstr>Spécificité1Poneys</vt:lpstr>
      <vt:lpstr>Spécificité1Porcins</vt:lpstr>
      <vt:lpstr>Spécificité1Volailles</vt:lpstr>
      <vt:lpstr>Spécificité2Bovins</vt:lpstr>
      <vt:lpstr>Spécificité2Canards</vt:lpstr>
      <vt:lpstr>Spécificité2Caprins</vt:lpstr>
      <vt:lpstr>Spécificité2ChevauxSelle</vt:lpstr>
      <vt:lpstr>Spécificité2ChevauxTrait</vt:lpstr>
      <vt:lpstr>Spécificité2Daims</vt:lpstr>
      <vt:lpstr>Spécificité2Lapins</vt:lpstr>
      <vt:lpstr>Spécificité2Oies</vt:lpstr>
      <vt:lpstr>Spécificité2Ovins</vt:lpstr>
      <vt:lpstr>Spécificité2Pintades</vt:lpstr>
      <vt:lpstr>Spécificité2Poneys</vt:lpstr>
      <vt:lpstr>Spécificité2Porcins</vt:lpstr>
      <vt:lpstr>Spécificité2Volailles</vt:lpstr>
      <vt:lpstr>Suisse</vt:lpstr>
      <vt:lpstr>SurfaceBalleFoin_500kg</vt:lpstr>
      <vt:lpstr>SurfaceBallePaille_500kg</vt:lpstr>
      <vt:lpstr>SurfaceBoucChèvrerie</vt:lpstr>
      <vt:lpstr>SurfaceChevreauChèvrerie</vt:lpstr>
      <vt:lpstr>SurfaceChèvreChèvrerie</vt:lpstr>
      <vt:lpstr>SurfaceJeuneBovinStabu</vt:lpstr>
      <vt:lpstr>SurfaceJeuneCaprinChèvrerie</vt:lpstr>
      <vt:lpstr>SurfaceNécessaireConcentréBovins</vt:lpstr>
      <vt:lpstr>SurfaceNécessaireConcentréLapins</vt:lpstr>
      <vt:lpstr>SurfaceNécessaireConcentréPorcins</vt:lpstr>
      <vt:lpstr>SurfaceNécessaireMinéraux</vt:lpstr>
      <vt:lpstr>SurfaceTaureauStabu</vt:lpstr>
      <vt:lpstr>SurfaceVacheStabu</vt:lpstr>
      <vt:lpstr>SurfaceVeauxStabu</vt:lpstr>
      <vt:lpstr>Total_PintadeMâle</vt:lpstr>
      <vt:lpstr>Total_poussin_mâle_0_1_mois</vt:lpstr>
      <vt:lpstr>TotalAgneau_0_3_mois</vt:lpstr>
      <vt:lpstr>TotalAgneau_3_6_mois</vt:lpstr>
      <vt:lpstr>TotalAgneaux</vt:lpstr>
      <vt:lpstr>TotalAgneauxRacesLaitières</vt:lpstr>
      <vt:lpstr>TotalAgnelle_0_3_mois</vt:lpstr>
      <vt:lpstr>TotalAgnelle_3_6_mois</vt:lpstr>
      <vt:lpstr>TotalBéliers</vt:lpstr>
      <vt:lpstr>TotalBéliersRacesLaitières</vt:lpstr>
      <vt:lpstr>TotalBisonneaux</vt:lpstr>
      <vt:lpstr>TotalBisonnes</vt:lpstr>
      <vt:lpstr>TotalBisons</vt:lpstr>
      <vt:lpstr>TotalBisons0_3</vt:lpstr>
      <vt:lpstr>TotalBisons12_18</vt:lpstr>
      <vt:lpstr>TotalBisons18_24</vt:lpstr>
      <vt:lpstr>TotalBisons24_36</vt:lpstr>
      <vt:lpstr>TotalBisons3_6</vt:lpstr>
      <vt:lpstr>TotalBisons6_12</vt:lpstr>
      <vt:lpstr>TotalBisonsAdultes</vt:lpstr>
      <vt:lpstr>TotalBisonsFemelles_0_3_mois</vt:lpstr>
      <vt:lpstr>TotalBisonsFemelles_12_18_mois</vt:lpstr>
      <vt:lpstr>TotalBisonsFemelles_18_24_mois</vt:lpstr>
      <vt:lpstr>TotalBisonsFemelles_24_36_mois</vt:lpstr>
      <vt:lpstr>TotalBisonsFemelles_3_6_mois</vt:lpstr>
      <vt:lpstr>TotalBisonsFemelles_6_12_mois</vt:lpstr>
      <vt:lpstr>TotalBisonsMales_0_3_mois</vt:lpstr>
      <vt:lpstr>TotalBisonsMales_12_18_mois</vt:lpstr>
      <vt:lpstr>TotalBisonsMales_18_24_mois</vt:lpstr>
      <vt:lpstr>TotalBisonsMales_24_36_mois</vt:lpstr>
      <vt:lpstr>TotalBisonsMales_3_6_mois</vt:lpstr>
      <vt:lpstr>TotalBisonsMales_6_12_mois</vt:lpstr>
      <vt:lpstr>TotalBisonsMalesAdultes</vt:lpstr>
      <vt:lpstr>TotalBoucs</vt:lpstr>
      <vt:lpstr>TotalBovins</vt:lpstr>
      <vt:lpstr>TotalBovins_0_3mois</vt:lpstr>
      <vt:lpstr>TotalBovins_0_3moisAuPré</vt:lpstr>
      <vt:lpstr>TotalBovins_0_3moisRacesLaitières</vt:lpstr>
      <vt:lpstr>TotalBovins_12_18mois</vt:lpstr>
      <vt:lpstr>TotalBovins_12_18moisAuPré</vt:lpstr>
      <vt:lpstr>TotalBovins_12_18moisRacesLaitières</vt:lpstr>
      <vt:lpstr>TotalBovins_18_24mois</vt:lpstr>
      <vt:lpstr>TotalBovins_18_24moisAuPré</vt:lpstr>
      <vt:lpstr>TotalBovins_18_24moisRacesLaitières</vt:lpstr>
      <vt:lpstr>TotalBovins_24_36mois</vt:lpstr>
      <vt:lpstr>TotalBovins_24_36moisAuPré</vt:lpstr>
      <vt:lpstr>TotalBovins_24_36moisRacesLaitières</vt:lpstr>
      <vt:lpstr>TotalBovins_3_6mois</vt:lpstr>
      <vt:lpstr>TotalBovins_3_6moisAuPré</vt:lpstr>
      <vt:lpstr>TotalBovins_3_6moisRacesLaitières</vt:lpstr>
      <vt:lpstr>TotalBovins_6_12mois</vt:lpstr>
      <vt:lpstr>TotalBovins_6_12moisAuPré</vt:lpstr>
      <vt:lpstr>TotalBovins_6_12moisRacesLaitières</vt:lpstr>
      <vt:lpstr>TotalBovinsAdultes</vt:lpstr>
      <vt:lpstr>TotalBovinsAdultesAuPré</vt:lpstr>
      <vt:lpstr>TotalBovinsAdultesRacesLaitières</vt:lpstr>
      <vt:lpstr>TotalBovinsFemelles_0_3mois</vt:lpstr>
      <vt:lpstr>TotalBovinsFemelles_12_18mois</vt:lpstr>
      <vt:lpstr>TotalBovinsFemelles_18_24mois</vt:lpstr>
      <vt:lpstr>TotalBovinsFemelles_24_36mois</vt:lpstr>
      <vt:lpstr>TotalBovinsFemelles_3_6mois</vt:lpstr>
      <vt:lpstr>TotalBovinsFemelles_6_12mois</vt:lpstr>
      <vt:lpstr>TotalBovinsLaitièresEtAlalaitantes</vt:lpstr>
      <vt:lpstr>TotalBovinsMâles_0_3mois</vt:lpstr>
      <vt:lpstr>TotalBovinsMâles_12_18mois</vt:lpstr>
      <vt:lpstr>TotalBovinsMâles_18_24mois</vt:lpstr>
      <vt:lpstr>TotalBovinsMâles_24_36mois</vt:lpstr>
      <vt:lpstr>TotalBovinsMâles_3_6mois</vt:lpstr>
      <vt:lpstr>TotalBovinsMâles_6_12mois</vt:lpstr>
      <vt:lpstr>TotalBovinsRacesLaitières</vt:lpstr>
      <vt:lpstr>TotalBrebis</vt:lpstr>
      <vt:lpstr>TotalBrebisRacesLaitières</vt:lpstr>
      <vt:lpstr>TotalCanards</vt:lpstr>
      <vt:lpstr>TotalCanardsAdultes</vt:lpstr>
      <vt:lpstr>TotalCanardsMalesAdultes</vt:lpstr>
      <vt:lpstr>TotalCanes</vt:lpstr>
      <vt:lpstr>TotalCanetons</vt:lpstr>
      <vt:lpstr>TotalCaprins</vt:lpstr>
      <vt:lpstr>TotalCaprins_0_3mois</vt:lpstr>
      <vt:lpstr>TotalCaprins_3_6mois</vt:lpstr>
      <vt:lpstr>TotalCaprinsAdultes</vt:lpstr>
      <vt:lpstr>TotalChevauxSelle</vt:lpstr>
      <vt:lpstr>TotalChevauxSelle_12_24mois</vt:lpstr>
      <vt:lpstr>TotalChevauxSelle_24_36mois</vt:lpstr>
      <vt:lpstr>TotalChevauxSelleAdultes</vt:lpstr>
      <vt:lpstr>TotalChevauxTrait</vt:lpstr>
      <vt:lpstr>TotalChevauxTrait_12_24mois</vt:lpstr>
      <vt:lpstr>TotalChevauxTrait_24_36mois</vt:lpstr>
      <vt:lpstr>TotalChevauxTraitAdultes</vt:lpstr>
      <vt:lpstr>TotalChevreaux</vt:lpstr>
      <vt:lpstr>TotalChèvres</vt:lpstr>
      <vt:lpstr>TotalCoqs</vt:lpstr>
      <vt:lpstr>TotalDaim</vt:lpstr>
      <vt:lpstr>TotalDaims</vt:lpstr>
      <vt:lpstr>TotalDaims0_3</vt:lpstr>
      <vt:lpstr>TotalDaims12_18</vt:lpstr>
      <vt:lpstr>TotalDaims18_24</vt:lpstr>
      <vt:lpstr>TotalDaims24_36</vt:lpstr>
      <vt:lpstr>TotalDaims3_6</vt:lpstr>
      <vt:lpstr>TotalDaims6_12</vt:lpstr>
      <vt:lpstr>TotalDaimsAdultes</vt:lpstr>
      <vt:lpstr>TotalDaine</vt:lpstr>
      <vt:lpstr>TotalEtalonPoney</vt:lpstr>
      <vt:lpstr>TotalEtalonSelle</vt:lpstr>
      <vt:lpstr>TotalEtalonTrait</vt:lpstr>
      <vt:lpstr>TotalFaons</vt:lpstr>
      <vt:lpstr>TotalGénisse_12_18_RacesLaitières</vt:lpstr>
      <vt:lpstr>TotalGénisse_18_24_RacesLaitières</vt:lpstr>
      <vt:lpstr>TotalGénisse_24_36_RacesLaitières</vt:lpstr>
      <vt:lpstr>TotalJars</vt:lpstr>
      <vt:lpstr>TotalJeune_bélier_6_12_mois</vt:lpstr>
      <vt:lpstr>TotalJeune_brebis_6_12_mois</vt:lpstr>
      <vt:lpstr>TotalJeuneBovin</vt:lpstr>
      <vt:lpstr>TotalJeuneEtalonPoney_12_24_mois</vt:lpstr>
      <vt:lpstr>TotalJeuneEtalonPoney_24_36_mois</vt:lpstr>
      <vt:lpstr>TotalJeuneEtalonSelle_12_24_mois</vt:lpstr>
      <vt:lpstr>TotalJeuneEtalonSelle_24_36_mois</vt:lpstr>
      <vt:lpstr>TotalJeuneEtalonTrait_12_24_mois</vt:lpstr>
      <vt:lpstr>TotalJeuneEtalonTrait_24_36_mois</vt:lpstr>
      <vt:lpstr>TotalJeuneJumentPoney_12_24_mois</vt:lpstr>
      <vt:lpstr>TotalJeuneJumentPoney_24_36_mois</vt:lpstr>
      <vt:lpstr>TotalJeuneJumentSelle_12_24_mois</vt:lpstr>
      <vt:lpstr>TotalJeuneJumentSelle_24_36_mois</vt:lpstr>
      <vt:lpstr>TotalJeuneJumentTrait_12_24_mois</vt:lpstr>
      <vt:lpstr>TotalJeuneJumentTrait_24_36_mois</vt:lpstr>
      <vt:lpstr>TotalJeuneLapin_1_3_mois</vt:lpstr>
      <vt:lpstr>TotalJeuneLapine_1_3_mois</vt:lpstr>
      <vt:lpstr>TotalJeunesBisons</vt:lpstr>
      <vt:lpstr>TotalJeunesBovinsAllaitants</vt:lpstr>
      <vt:lpstr>TotalJeunesBovinsRacesLaitières</vt:lpstr>
      <vt:lpstr>TotalJeunesCanards</vt:lpstr>
      <vt:lpstr>TotalJeunesCanards_3moisEtPlus</vt:lpstr>
      <vt:lpstr>TotalJeunesCaprins</vt:lpstr>
      <vt:lpstr>TotalJeunesChevauxSelle</vt:lpstr>
      <vt:lpstr>TotalJeunesChevauxTrait</vt:lpstr>
      <vt:lpstr>TotalJeunesDaims</vt:lpstr>
      <vt:lpstr>TotalJeunesLapins</vt:lpstr>
      <vt:lpstr>TotalJeunesOies</vt:lpstr>
      <vt:lpstr>TotalJeunesOvins</vt:lpstr>
      <vt:lpstr>TotalJeunesOvinsRacesLaitières</vt:lpstr>
      <vt:lpstr>TotalJeunesPintades</vt:lpstr>
      <vt:lpstr>TotalJeunesPoneys</vt:lpstr>
      <vt:lpstr>TotalJeunesPorcins</vt:lpstr>
      <vt:lpstr>TotalJeuneVolaille</vt:lpstr>
      <vt:lpstr>TotalJumentPoney</vt:lpstr>
      <vt:lpstr>TotalJumentSelle</vt:lpstr>
      <vt:lpstr>TotalJumentTrait</vt:lpstr>
      <vt:lpstr>TotalLapereauFemelle_0_1_mois</vt:lpstr>
      <vt:lpstr>TotalLapereauMale_0_1_mois</vt:lpstr>
      <vt:lpstr>TotalLapereaux</vt:lpstr>
      <vt:lpstr>TotalLapines</vt:lpstr>
      <vt:lpstr>TotalLapins</vt:lpstr>
      <vt:lpstr>TotalLapinsAdultes</vt:lpstr>
      <vt:lpstr>TotalOies</vt:lpstr>
      <vt:lpstr>TotalOiesAdultes</vt:lpstr>
      <vt:lpstr>TotalOiesFemellesAdultes</vt:lpstr>
      <vt:lpstr>TotalOisons</vt:lpstr>
      <vt:lpstr>TotalOvins</vt:lpstr>
      <vt:lpstr>TotalOvins_0_3mois</vt:lpstr>
      <vt:lpstr>TotalOvins_0_3moisAuPré</vt:lpstr>
      <vt:lpstr>TotalOvins_0_3moisRacesLaitières</vt:lpstr>
      <vt:lpstr>TotalOvins_3_6mois</vt:lpstr>
      <vt:lpstr>TotalOvins_3_6moisAuPré</vt:lpstr>
      <vt:lpstr>TotalOvins_3_6moisRacesLaitières</vt:lpstr>
      <vt:lpstr>TotalOvins_6_12moisAuPré</vt:lpstr>
      <vt:lpstr>TotalOvinsAdultes</vt:lpstr>
      <vt:lpstr>TotalOvinsAdultesAuPré</vt:lpstr>
      <vt:lpstr>TotalOvinsAdultesRacesLaitières</vt:lpstr>
      <vt:lpstr>TotalOvinsRacesLaitières</vt:lpstr>
      <vt:lpstr>TotalPintadeaux</vt:lpstr>
      <vt:lpstr>TotalPintadeFemelle</vt:lpstr>
      <vt:lpstr>TotalPintades</vt:lpstr>
      <vt:lpstr>TotalPintadesAdultes</vt:lpstr>
      <vt:lpstr>TotalPoneys</vt:lpstr>
      <vt:lpstr>TotalPoneys_12_24mois</vt:lpstr>
      <vt:lpstr>TotalPoneys_24_36mois</vt:lpstr>
      <vt:lpstr>TotalPoneysAdultes</vt:lpstr>
      <vt:lpstr>TotalPorcelets</vt:lpstr>
      <vt:lpstr>TotalPorcins</vt:lpstr>
      <vt:lpstr>TotalPorcins_0_1Mois</vt:lpstr>
      <vt:lpstr>TotalPorcins_1_3Mois</vt:lpstr>
      <vt:lpstr>TotalPorcins_3_6Mois</vt:lpstr>
      <vt:lpstr>TotalPorcins_6_12Mois</vt:lpstr>
      <vt:lpstr>TotalPorcinsAdultes</vt:lpstr>
      <vt:lpstr>TotalPoulainPoney_0_12_mois</vt:lpstr>
      <vt:lpstr>TotalPoulainSelle_0_12_mois</vt:lpstr>
      <vt:lpstr>TotalPoulainsPoneys</vt:lpstr>
      <vt:lpstr>TotalPoulainsSelle</vt:lpstr>
      <vt:lpstr>TotalPoulainsTrait</vt:lpstr>
      <vt:lpstr>TotalPoulainTrait_0_12_mois</vt:lpstr>
      <vt:lpstr>TotalPoules</vt:lpstr>
      <vt:lpstr>TotalPoulichePoney_0_12_mois</vt:lpstr>
      <vt:lpstr>TotalPoulicheSelle_0_12_mois</vt:lpstr>
      <vt:lpstr>TotalPoulicheTrait_0_12_mois</vt:lpstr>
      <vt:lpstr>TotalPoussins</vt:lpstr>
      <vt:lpstr>TotalTaureaux</vt:lpstr>
      <vt:lpstr>TotalTaureauxAllaitants</vt:lpstr>
      <vt:lpstr>TotalTaureauxRacesLaitières</vt:lpstr>
      <vt:lpstr>TotalTaurillon_12_18_RacesLaitières</vt:lpstr>
      <vt:lpstr>TotalTaurillon_18_24_RacesLaitières</vt:lpstr>
      <vt:lpstr>TotalTaurillon_24_36_RacesLaitières</vt:lpstr>
      <vt:lpstr>TotalTruies</vt:lpstr>
      <vt:lpstr>TotalVaches</vt:lpstr>
      <vt:lpstr>TotalVachesAllaitant</vt:lpstr>
      <vt:lpstr>TotalVachesRacesLaitières</vt:lpstr>
      <vt:lpstr>TotalVeauFemelle_0_3_RacesLaitières</vt:lpstr>
      <vt:lpstr>TotalVeauFemelle_3_6_RacesLaitières</vt:lpstr>
      <vt:lpstr>TotalVeauFemelle_6_12_RacesLaitières</vt:lpstr>
      <vt:lpstr>TotalVeauMâle_0_3_RacesLaitières</vt:lpstr>
      <vt:lpstr>TotalVeauMâle_3_6_RacesLaitières</vt:lpstr>
      <vt:lpstr>TotalVeauMâle_6_12_RacesLaitières</vt:lpstr>
      <vt:lpstr>TotalVeaux</vt:lpstr>
      <vt:lpstr>TotalVeauxAllaitants</vt:lpstr>
      <vt:lpstr>TotalVeauxRacesLaitières</vt:lpstr>
      <vt:lpstr>TotalVerrats</vt:lpstr>
      <vt:lpstr>TotalVolailleAdulte</vt:lpstr>
      <vt:lpstr>TotalVolailles</vt:lpstr>
      <vt:lpstr>Tournesol</vt:lpstr>
      <vt:lpstr>Tournesol_BDD</vt:lpstr>
      <vt:lpstr>TournesolNécessaireBQ</vt:lpstr>
      <vt:lpstr>TournesolNécessaireMaQ</vt:lpstr>
      <vt:lpstr>TournesolNécessaireMoQ</vt:lpstr>
      <vt:lpstr>TourteauColza</vt:lpstr>
      <vt:lpstr>TourteauColzaNécessaireBQ</vt:lpstr>
      <vt:lpstr>TourteauColzaNécessaireMaQ</vt:lpstr>
      <vt:lpstr>TourteauColzaNécessaireMoQ</vt:lpstr>
      <vt:lpstr>TourteauTournesol</vt:lpstr>
      <vt:lpstr>TourteauTournesolNécessaireBQ</vt:lpstr>
      <vt:lpstr>TourteauTournesolNécessaireMaQ</vt:lpstr>
      <vt:lpstr>TourteauTournesolNécessaireMoQ</vt:lpstr>
      <vt:lpstr>Triticale</vt:lpstr>
      <vt:lpstr>Triticale_BDD</vt:lpstr>
      <vt:lpstr>TriticaleNécessaireBQ</vt:lpstr>
      <vt:lpstr>TriticaleNécessaireMaQ</vt:lpstr>
      <vt:lpstr>TriticaleNécessaireMoQ</vt:lpstr>
      <vt:lpstr>USA</vt:lpstr>
    </vt:vector>
  </TitlesOfParts>
  <Manager>Ghislain</Manager>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Aide simagri</dc:title>
  <dc:subject>fichier d'aide à la gestion de la ferme sous www.SIMAGRI.com</dc:subject>
  <dc:creator>Ghislain</dc:creator>
  <cp:lastModifiedBy>DOMERCQ Ghislain</cp:lastModifiedBy>
  <dcterms:created xsi:type="dcterms:W3CDTF">2007-02-20T13:32:42Z</dcterms:created>
  <dcterms:modified xsi:type="dcterms:W3CDTF">2019-10-23T14:48:48Z</dcterms:modified>
  <cp:category>personnel</cp:category>
</cp:coreProperties>
</file>